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codeName="ThisWorkbook" defaultThemeVersion="124226"/>
  <bookViews>
    <workbookView xWindow="28680" yWindow="65416" windowWidth="29040" windowHeight="15840" tabRatio="887" activeTab="0"/>
  </bookViews>
  <sheets>
    <sheet name="VGO-scan info" sheetId="25" r:id="rId1"/>
    <sheet name="Algemene gegevens" sheetId="2" r:id="rId2"/>
    <sheet name="Disciplinematrix" sheetId="17" r:id="rId3"/>
    <sheet name="Vragen" sheetId="13" r:id="rId4"/>
    <sheet name="VGOSCAN4_0" sheetId="23" state="hidden" r:id="rId5"/>
    <sheet name="Resultatenblad" sheetId="19" r:id="rId6"/>
    <sheet name="OKscores" sheetId="22" state="hidden" r:id="rId7"/>
    <sheet name="DataVragen" sheetId="18" state="hidden" r:id="rId8"/>
    <sheet name="MI" sheetId="16" state="hidden" r:id="rId9"/>
    <sheet name="MI_old" sheetId="12" state="hidden" r:id="rId10"/>
    <sheet name="Data" sheetId="4" state="hidden" r:id="rId11"/>
    <sheet name="DataNew" sheetId="15" state="hidden" r:id="rId12"/>
  </sheets>
  <definedNames>
    <definedName name="GroepKeuzes">'Data'!$E$2:$E$3</definedName>
    <definedName name="hulptabel_ontwikkel">'DataNew'!$H$33:$J$36</definedName>
    <definedName name="Keuzes11">'Data'!$H$2:$H$5</definedName>
    <definedName name="lbl_adviseur">'DataNew'!$D$8</definedName>
    <definedName name="lbl_beoordeling">'DataNew'!$D$4</definedName>
    <definedName name="lbl_discipline_behaald">'DataNew'!$D$29</definedName>
    <definedName name="lbl_discipline_niet_behaald">'DataNew'!$D$30</definedName>
    <definedName name="lbl_extra_vraag">'DataNew'!$D$24</definedName>
    <definedName name="lbl_gewone_vraag">'DataNew'!$D$23</definedName>
    <definedName name="lbl_meedenker">'DataNew'!$D$7</definedName>
    <definedName name="lbl_must">'DataNew'!$D$9</definedName>
    <definedName name="lbl_profiel">'DataNew'!$D$5</definedName>
    <definedName name="lbl_score">'DataNew'!$D$3</definedName>
    <definedName name="lbl_uitvoerder">'DataNew'!$D$6</definedName>
    <definedName name="lbl_vraag">'DataNew'!$D$2</definedName>
    <definedName name="lbl_vraag_extra">'DataNew'!$D$24</definedName>
    <definedName name="lbl_vraag_must">'DataNew'!$D$25</definedName>
    <definedName name="lbl_vraag_must_ontwikkel">'DataNew'!$D$27</definedName>
    <definedName name="lbl_vraag_must_tijdelijk">'DataNew'!$D$26</definedName>
    <definedName name="Lijst112">'Data'!$B$2:$B$5</definedName>
    <definedName name="Lijst2">'Data'!$K$2:$K$3</definedName>
    <definedName name="LijstAB">'Data'!$D$2:$D$3</definedName>
    <definedName name="LijstABC">'Data'!$C$2:$C$4</definedName>
    <definedName name="LijstABCDE">'Data'!$I$2:$I$6</definedName>
    <definedName name="LijstABVDE">'Data'!$I$2:$I$6</definedName>
    <definedName name="LijstKeuzes">'Data'!$A$2:$A$5</definedName>
    <definedName name="matrix_count">'DataNew'!$T$1:$V$1</definedName>
    <definedName name="matrix_e">'DataNew'!$D$11</definedName>
    <definedName name="matrix_e_lang">'DataNew'!$E$11</definedName>
    <definedName name="matrix_nvt">'DataNew'!$D$10</definedName>
    <definedName name="matrix_nvt_lang">'DataNew'!$E$10</definedName>
    <definedName name="matrix_opties">'DataNew'!$Q$2:$Q$7</definedName>
    <definedName name="matrix_p">'DataNew'!$D$13</definedName>
    <definedName name="matrix_p_lang">'DataNew'!$E$13</definedName>
    <definedName name="matrix_pe">'DataNew'!$D$15</definedName>
    <definedName name="matrix_pe_lang">'DataNew'!$E$15</definedName>
    <definedName name="matrix_pu">'DataNew'!$D$14</definedName>
    <definedName name="matrix_pu_lang">'DataNew'!$E$14</definedName>
    <definedName name="matrix_u">'DataNew'!$D$12</definedName>
    <definedName name="matrix_u_lang">'DataNew'!$E$12</definedName>
    <definedName name="matrix_voorwaarde_1">'DataNew'!$X$2</definedName>
    <definedName name="matrix_voorwaarde_2">'DataNew'!$X$3</definedName>
    <definedName name="matrix_voorwaarde_3">'DataNew'!$X$4</definedName>
    <definedName name="matrix_voorwaarde_4">'DataNew'!$X$5</definedName>
    <definedName name="matrix_voorwaarde_5">'DataNew'!$X$6</definedName>
    <definedName name="matrix_voorwaarde_6">'DataNew'!$X$7</definedName>
    <definedName name="matrix_voorwaarde_7">'DataNew'!$X$8</definedName>
    <definedName name="matrix_vragen_aanvullend">'Disciplinematrix'!$B$29:$D$29</definedName>
    <definedName name="matrix_vragen_daken">'Disciplinematrix'!$B$11:$D$15</definedName>
    <definedName name="matrix_vragen_gevel">'Disciplinematrix'!$B$6:$D$9</definedName>
    <definedName name="matrix_vragen_installaties">'Disciplinematrix'!$B$17:$D$20</definedName>
    <definedName name="matrix_vragen_interieur">'Disciplinematrix'!$B$22:$D$26</definedName>
    <definedName name="min_disciplines_goed">'DataNew'!$J$11:$K$14</definedName>
    <definedName name="min_score">'DataNew'!$H$1:$O$4</definedName>
    <definedName name="Omzet">'Data'!$C$2:$C$5</definedName>
    <definedName name="_xlnm.Print_Area" localSheetId="5">'Resultatenblad'!$A$1:$I$199</definedName>
    <definedName name="_xlnm.Print_Area" localSheetId="4">'VGOSCAN4_0'!$A$1:$W$58</definedName>
    <definedName name="_xlnm.Print_Area" localSheetId="3">'Vragen'!$A$1:$Y$59</definedName>
    <definedName name="profiel">'DataNew'!$H$2:$H$4</definedName>
    <definedName name="profiel_gekozen">'Disciplinematrix'!$B$2</definedName>
    <definedName name="score">'DataNew'!$A$2:$A$5</definedName>
    <definedName name="score_1">'DataNew'!$B$2</definedName>
    <definedName name="score_2">'DataNew'!$B$3</definedName>
    <definedName name="score_3">'DataNew'!$B$4</definedName>
    <definedName name="score_4">'DataNew'!$B$5</definedName>
    <definedName name="score_percentage">'DataNew'!$A$2:$B$5</definedName>
    <definedName name="scores_gewoon">'DataNew'!$D$17</definedName>
    <definedName name="scores_gewoon_1">'DataNew'!$D$18</definedName>
    <definedName name="scores_mogelijk">'DataVragen'!$Q$2:$T$53</definedName>
    <definedName name="scores_must">'DataNew'!$D$16</definedName>
    <definedName name="scores_must_tijdelijk">'DataNew'!$D$19</definedName>
    <definedName name="scores_ontwikkel">'DataNew'!$D$20</definedName>
    <definedName name="SoortCertificaat">'Data'!$M$2:$M$3</definedName>
    <definedName name="type_k">'DataNew'!$F$2</definedName>
    <definedName name="type_o">'DataNew'!$F$3</definedName>
    <definedName name="vgo_a">'Vragen'!$AK$6:$AK$56</definedName>
    <definedName name="vgo_a_1">'Vragen'!$AG$6:$AG$56</definedName>
    <definedName name="vgo_a_2">'Vragen'!$AH$6:$AH$56</definedName>
    <definedName name="vgo_a_3">'Vragen'!$AI$6:$AI$56</definedName>
    <definedName name="vgo_a_4">'Vragen'!$AJ$6:$AJ$56</definedName>
    <definedName name="vgo_k">'Vragen'!$BN$6:$BN$56</definedName>
    <definedName name="vgo_must">'Vragen'!$AR$6:$AR$56</definedName>
    <definedName name="vgo_must_tijdelijk">'Vragen'!$AW$6:$AW$56</definedName>
    <definedName name="vgo_o">'Vragen'!$BM$6:$BM$56</definedName>
    <definedName name="vgo_onderdeel">'Vragen'!$CK$6:$CK$56</definedName>
    <definedName name="vgo_ontwikkel">'Vragen'!$CA$6:$CA$56</definedName>
    <definedName name="vgo_score">'Vragen'!$AM$6:$AM$56</definedName>
    <definedName name="vgo_show">'Vragen'!$AV$6:$AV$56</definedName>
    <definedName name="vraag_voorwaarde_gewone_1">'DataNew'!$X$13</definedName>
    <definedName name="vraag_voorwaarde_gewone_3">'DataNew'!$X$14</definedName>
    <definedName name="vraag_voorwaarde_ingevuld">'DataNew'!$X$14</definedName>
    <definedName name="vraag_voorwaarde_must">'DataNew'!$X$12</definedName>
    <definedName name="vraag_voorwaarde_must_tijdelijk">'DataNew'!$X$15</definedName>
    <definedName name="vraag_voorwaarde_must_tijdelijk_a_2">'DataNew'!$X$16</definedName>
    <definedName name="vragen_gewoon">'DataVragen'!$I$2:$L$53</definedName>
    <definedName name="vragen_gewoon_1">'DataVragen'!$M$2:$P$53</definedName>
    <definedName name="vragen_must">'DataVragen'!$A$2:$D$53</definedName>
    <definedName name="vragen_must_tijdelijk">'DataVragen'!$E$2:$H$53</definedName>
    <definedName name="vragen_non_must">'DataVragen'!$Q$2:$T$53</definedName>
    <definedName name="vragen_ontwikkel">'DataVragen'!$Y$2:$AB$53</definedName>
    <definedName name="vragen_show">'DataVragen'!$U$2:$X$53</definedName>
    <definedName name="vragen_uma">'DataVragen'!$B$2:$D$2</definedName>
    <definedName name="vragen_uma_kolom">'DataNew'!$T$2:$V$2</definedName>
    <definedName name="vragen_uma_kolom_gekozen">'DataVragen'!$AJ$2</definedName>
  </definedNames>
  <calcPr calcId="191029"/>
  <extLst/>
</workbook>
</file>

<file path=xl/sharedStrings.xml><?xml version="1.0" encoding="utf-8"?>
<sst xmlns="http://schemas.openxmlformats.org/spreadsheetml/2006/main" count="1202" uniqueCount="698">
  <si>
    <t>1. Introductie</t>
  </si>
  <si>
    <t>4. Uitvoering</t>
  </si>
  <si>
    <t>Datum bezoek:</t>
  </si>
  <si>
    <t>Bedrijf:</t>
  </si>
  <si>
    <t>Postadres:</t>
  </si>
  <si>
    <t>Bezoek adres:</t>
  </si>
  <si>
    <t>Contactpersoon:</t>
  </si>
  <si>
    <t>tel.nr.:</t>
  </si>
  <si>
    <t>e-mail:</t>
  </si>
  <si>
    <t>Gesproken met:</t>
  </si>
  <si>
    <t>Bekeken projectmappen:</t>
  </si>
  <si>
    <t>Pr.nr.</t>
  </si>
  <si>
    <t>a. nee</t>
  </si>
  <si>
    <t>b. ja, met derden</t>
  </si>
  <si>
    <t>c. ja, met eigen personeel en derden</t>
  </si>
  <si>
    <t>d. ja, met eigen personeel</t>
  </si>
  <si>
    <t>Lijst keuzes</t>
  </si>
  <si>
    <t>a</t>
  </si>
  <si>
    <t>b</t>
  </si>
  <si>
    <t>c</t>
  </si>
  <si>
    <t>d</t>
  </si>
  <si>
    <t>a. Nvt</t>
  </si>
  <si>
    <t>b.Uitvoerder</t>
  </si>
  <si>
    <t>c. Meedenker</t>
  </si>
  <si>
    <t>d. Vastgoedadviseur</t>
  </si>
  <si>
    <t>1.1.3</t>
  </si>
  <si>
    <t>1.1.4</t>
  </si>
  <si>
    <t>1.1.5</t>
  </si>
  <si>
    <t>1.1.6</t>
  </si>
  <si>
    <t>1.2.1</t>
  </si>
  <si>
    <t>1.2.2</t>
  </si>
  <si>
    <t xml:space="preserve">Lijst Keuzes </t>
  </si>
  <si>
    <t>1.3.1</t>
  </si>
  <si>
    <t>1.3.2</t>
  </si>
  <si>
    <t>1.3.3</t>
  </si>
  <si>
    <t>1.3.4</t>
  </si>
  <si>
    <t>GroepKeuzes</t>
  </si>
  <si>
    <t>Keuzes11</t>
  </si>
  <si>
    <t>1.4.1</t>
  </si>
  <si>
    <t>Vraag</t>
  </si>
  <si>
    <t>1.4.2</t>
  </si>
  <si>
    <t>1.4.3</t>
  </si>
  <si>
    <t>1.4.4</t>
  </si>
  <si>
    <t>1.4.5</t>
  </si>
  <si>
    <t>1.5.1</t>
  </si>
  <si>
    <t>Leidraad</t>
  </si>
  <si>
    <t>1.5.2</t>
  </si>
  <si>
    <t>1.5.3</t>
  </si>
  <si>
    <t>1.5.4</t>
  </si>
  <si>
    <t>1.5.5</t>
  </si>
  <si>
    <t>1.5.6</t>
  </si>
  <si>
    <t>1.5.7</t>
  </si>
  <si>
    <t>1.5.8</t>
  </si>
  <si>
    <t>1.6.1</t>
  </si>
  <si>
    <t>1.6.2</t>
  </si>
  <si>
    <t>1.6.3</t>
  </si>
  <si>
    <t>1.6.4</t>
  </si>
  <si>
    <t>1.6.5</t>
  </si>
  <si>
    <t>1.7.1</t>
  </si>
  <si>
    <t>1.7.2</t>
  </si>
  <si>
    <t>1.7.3</t>
  </si>
  <si>
    <t>1.7.4</t>
  </si>
  <si>
    <t>1.7.5</t>
  </si>
  <si>
    <t>1.7.6</t>
  </si>
  <si>
    <t>1.7.7</t>
  </si>
  <si>
    <t>1.7.8</t>
  </si>
  <si>
    <t>1.7.9</t>
  </si>
  <si>
    <t>1.7.10</t>
  </si>
  <si>
    <t>1.8.1</t>
  </si>
  <si>
    <t>1.8.2</t>
  </si>
  <si>
    <t>1.8.3</t>
  </si>
  <si>
    <t>1.8.4</t>
  </si>
  <si>
    <t>2.1.1</t>
  </si>
  <si>
    <t>Lijst Keuzes</t>
  </si>
  <si>
    <t>e</t>
  </si>
  <si>
    <t>2.2.4</t>
  </si>
  <si>
    <t>2.3.1</t>
  </si>
  <si>
    <t>2.3.2</t>
  </si>
  <si>
    <t>2.3.3</t>
  </si>
  <si>
    <t>2.3.4</t>
  </si>
  <si>
    <t>2.4.1</t>
  </si>
  <si>
    <t>2.4.2</t>
  </si>
  <si>
    <t>2.5.1</t>
  </si>
  <si>
    <t>2.5.2</t>
  </si>
  <si>
    <t>2.6.1</t>
  </si>
  <si>
    <t>2.6.2</t>
  </si>
  <si>
    <t>2.6.3</t>
  </si>
  <si>
    <t>2.6.4</t>
  </si>
  <si>
    <t>2.6.5</t>
  </si>
  <si>
    <t>2.7.1</t>
  </si>
  <si>
    <t>2.7.2</t>
  </si>
  <si>
    <t>2.7.3</t>
  </si>
  <si>
    <t>2.7.4</t>
  </si>
  <si>
    <t>2.7.5</t>
  </si>
  <si>
    <t>2.7.6</t>
  </si>
  <si>
    <t>2.7.7</t>
  </si>
  <si>
    <t>2.7.8</t>
  </si>
  <si>
    <t>2.8.1</t>
  </si>
  <si>
    <t>2.8.2</t>
  </si>
  <si>
    <t>Punten</t>
  </si>
  <si>
    <t>Weging</t>
  </si>
  <si>
    <t>Totaal</t>
  </si>
  <si>
    <t>Telling voor Gemiddelden</t>
  </si>
  <si>
    <t>Terugrekenen voor gemiddelden</t>
  </si>
  <si>
    <t>Datum:</t>
  </si>
  <si>
    <t>Handtekening Lead Auditor:</t>
  </si>
  <si>
    <t>Handtekening Directievertegenwoordiger:</t>
  </si>
  <si>
    <t>nee</t>
  </si>
  <si>
    <t>Organisatie</t>
  </si>
  <si>
    <t>ja</t>
  </si>
  <si>
    <t>VGO-scan</t>
  </si>
  <si>
    <t>Informatie t.b.v. het gebruik van de VGO-scan</t>
  </si>
  <si>
    <t>Score</t>
  </si>
  <si>
    <t>Kiwa Nederland B.V.</t>
  </si>
  <si>
    <t>omschrijving</t>
  </si>
  <si>
    <t>p&amp;o functionaris:</t>
  </si>
  <si>
    <t>directeur:</t>
  </si>
  <si>
    <t>calculator/werkvoorb.:</t>
  </si>
  <si>
    <t>Lijst2</t>
  </si>
  <si>
    <t>Antwoord</t>
  </si>
  <si>
    <t>1.1.1.A</t>
  </si>
  <si>
    <t>1.1.1.A.1</t>
  </si>
  <si>
    <t>1.1.1.A.2</t>
  </si>
  <si>
    <t>1.1.1.A.3</t>
  </si>
  <si>
    <t>1.1.1.A.4</t>
  </si>
  <si>
    <t>1.1.1.A.5</t>
  </si>
  <si>
    <t>1.1.1.A.6</t>
  </si>
  <si>
    <t>1.1.1.A.7</t>
  </si>
  <si>
    <t>1.1.1.A.8</t>
  </si>
  <si>
    <t>1.1.1.A.9</t>
  </si>
  <si>
    <t>1.1.1.B</t>
  </si>
  <si>
    <t>1.1.1.B.1</t>
  </si>
  <si>
    <t>1.1.1.B.2</t>
  </si>
  <si>
    <t>1.1.1.B.3</t>
  </si>
  <si>
    <t>1.1.1.B.4</t>
  </si>
  <si>
    <t>1.1.1.B.5</t>
  </si>
  <si>
    <t>1.1.1.C</t>
  </si>
  <si>
    <t>1.1.1.C.1</t>
  </si>
  <si>
    <t>1.1.1.C.2</t>
  </si>
  <si>
    <t>1.1.1.C.3</t>
  </si>
  <si>
    <t>1.1.1.C.4</t>
  </si>
  <si>
    <t>1.1.1.C.5</t>
  </si>
  <si>
    <t>1.1.1.C.6</t>
  </si>
  <si>
    <t>1.1.1.C.7</t>
  </si>
  <si>
    <t>1.1.1.C.8</t>
  </si>
  <si>
    <t>1.1.1.D</t>
  </si>
  <si>
    <t>1.1.1.D.1</t>
  </si>
  <si>
    <t>1.1.1.D.2</t>
  </si>
  <si>
    <t>1.1.1.D.3</t>
  </si>
  <si>
    <t>1.1.1.D.4</t>
  </si>
  <si>
    <t>1.1.1.D.5</t>
  </si>
  <si>
    <t>1.1.1.D.6</t>
  </si>
  <si>
    <t>1.1.1.D.7</t>
  </si>
  <si>
    <t>1.1.1.D.8</t>
  </si>
  <si>
    <t>1.1.2.1</t>
  </si>
  <si>
    <t>1.1.2.2</t>
  </si>
  <si>
    <t>1.1.2.3</t>
  </si>
  <si>
    <t>1.1.2.4</t>
  </si>
  <si>
    <t>2.2.1.A</t>
  </si>
  <si>
    <t>2.2.1.B</t>
  </si>
  <si>
    <t>2.2.1.C</t>
  </si>
  <si>
    <t>2.2.1.D</t>
  </si>
  <si>
    <t>2.2.2.A</t>
  </si>
  <si>
    <t>2.2.2.B</t>
  </si>
  <si>
    <t>2.2.2.C</t>
  </si>
  <si>
    <t>2.2.2.D</t>
  </si>
  <si>
    <t>2.2.3.A</t>
  </si>
  <si>
    <t>2.2.3.B</t>
  </si>
  <si>
    <t>2.2.3.C</t>
  </si>
  <si>
    <t>2.2.3.D</t>
  </si>
  <si>
    <t>2.2.3.E</t>
  </si>
  <si>
    <t>2.2.3.F</t>
  </si>
  <si>
    <t>2.2.3.G</t>
  </si>
  <si>
    <t>2.2.3.H</t>
  </si>
  <si>
    <t>1.1.1.T</t>
  </si>
  <si>
    <t>1.1.2.T</t>
  </si>
  <si>
    <t>1.1.T</t>
  </si>
  <si>
    <t>1.2.T</t>
  </si>
  <si>
    <t>1.3.T</t>
  </si>
  <si>
    <t>1.4.T</t>
  </si>
  <si>
    <t>1.5.T</t>
  </si>
  <si>
    <t>1.6.T</t>
  </si>
  <si>
    <t>1.7.T</t>
  </si>
  <si>
    <t>1.8.T</t>
  </si>
  <si>
    <t>2.2.1.T</t>
  </si>
  <si>
    <t>2.2.2.T</t>
  </si>
  <si>
    <t>2.2.3.T</t>
  </si>
  <si>
    <t>2.2.T</t>
  </si>
  <si>
    <t>2.3.T</t>
  </si>
  <si>
    <t>2.4.T</t>
  </si>
  <si>
    <t>2.5.T</t>
  </si>
  <si>
    <t>2.6.T</t>
  </si>
  <si>
    <t>2.7.T</t>
  </si>
  <si>
    <t>2.8.T</t>
  </si>
  <si>
    <t>2.1.1.T</t>
  </si>
  <si>
    <t>Auditor:</t>
  </si>
  <si>
    <t>Soort certificatie</t>
  </si>
  <si>
    <t>Soort Certificaten</t>
  </si>
  <si>
    <t>Hercertificatie</t>
  </si>
  <si>
    <t>Nieuw</t>
  </si>
  <si>
    <t>Her</t>
  </si>
  <si>
    <t>Verzuim</t>
  </si>
  <si>
    <t>VGO scan</t>
  </si>
  <si>
    <t>Onderdeel</t>
  </si>
  <si>
    <t>Vragen</t>
  </si>
  <si>
    <t>Beoordeling</t>
  </si>
  <si>
    <t>Waardering</t>
  </si>
  <si>
    <t>Algemeen</t>
  </si>
  <si>
    <t>Zie Discipline matrix</t>
  </si>
  <si>
    <t>U</t>
  </si>
  <si>
    <t>M</t>
  </si>
  <si>
    <t>A</t>
  </si>
  <si>
    <t>K/O</t>
  </si>
  <si>
    <t>Extern</t>
  </si>
  <si>
    <t>Keten</t>
  </si>
  <si>
    <t>O</t>
  </si>
  <si>
    <t>K</t>
  </si>
  <si>
    <t>Leiderschap</t>
  </si>
  <si>
    <t>Waar streeft u naar bij het aansturen van de organisatie?</t>
  </si>
  <si>
    <t>Competentie Kennis</t>
  </si>
  <si>
    <t>§ 4.8 / § 4.9</t>
  </si>
  <si>
    <t>Competentie Resultaatgerichtheid</t>
  </si>
  <si>
    <t>§ 4.8</t>
  </si>
  <si>
    <t>Beleid en strategie</t>
  </si>
  <si>
    <t>Wat is de missie en visie van de organisatie, hoe verwezenlijkt u deze strategie?</t>
  </si>
  <si>
    <t>Missie en visie</t>
  </si>
  <si>
    <t>§ 7.3</t>
  </si>
  <si>
    <t>Strategie en doelstellingen</t>
  </si>
  <si>
    <t>Gestructureerde ontwikkeling missie, visie en strategie</t>
  </si>
  <si>
    <t>Medewerkers (management)</t>
  </si>
  <si>
    <t>Weten uw medewerkers wat van hen wordt verwacht in kader van RGS?</t>
  </si>
  <si>
    <t>Functie, beoordeling en opleiding</t>
  </si>
  <si>
    <t>-</t>
  </si>
  <si>
    <t>Personeelsmanagement</t>
  </si>
  <si>
    <t>Middelen (management)</t>
  </si>
  <si>
    <t xml:space="preserve">Welke middelen ondersteunen het RGS proces? (geld, kennis, technologie, materialen en diensten) </t>
  </si>
  <si>
    <t>Technologie</t>
  </si>
  <si>
    <t>§ 9.4 en Bijlagen</t>
  </si>
  <si>
    <t>Tevredenheidsonderzoeken en beoordelingen</t>
  </si>
  <si>
    <t>§ 5.4.3 / § 7.4
B7 / B25</t>
  </si>
  <si>
    <t>Onderzoeksanalyse en opvolging</t>
  </si>
  <si>
    <t>§ 7.5</t>
  </si>
  <si>
    <t>Processen  (management)</t>
  </si>
  <si>
    <t>Hoe ziet jullie primaire proces (RGS-proces) eruit en welke stappen zijn hier kritisch in?</t>
  </si>
  <si>
    <t>Primair proces</t>
  </si>
  <si>
    <t>§ 5.1</t>
  </si>
  <si>
    <t>Procescoördinatie</t>
  </si>
  <si>
    <t>Fase 1</t>
  </si>
  <si>
    <t>Initiatieffase</t>
  </si>
  <si>
    <t>Op basis van welke criteria wordt het ontwikkelteam samengesteld?</t>
  </si>
  <si>
    <t>Startdocument - complexstrategie</t>
  </si>
  <si>
    <t>§ 5.3.1 / B2 - B6</t>
  </si>
  <si>
    <t>Ontwikkelteam</t>
  </si>
  <si>
    <t>§ 5.3.2</t>
  </si>
  <si>
    <t>Hoe ziet een projectplanning bij u eruit?</t>
  </si>
  <si>
    <t>Projectplanning</t>
  </si>
  <si>
    <t>§ 5.3.3 / B3</t>
  </si>
  <si>
    <t>Projectmanagement</t>
  </si>
  <si>
    <t>Welke projectoverstijgende afspraken maakt u met ketenpartijen?</t>
  </si>
  <si>
    <t>Raam- of intentie overeenkomst Klant (OG)</t>
  </si>
  <si>
    <t>§ 5.3.4 / B4 - B5</t>
  </si>
  <si>
    <t>Raamovereenkomst Partners en leveranciers</t>
  </si>
  <si>
    <t>§ 5.3.4</t>
  </si>
  <si>
    <t>Functioneel specificeren</t>
  </si>
  <si>
    <t>§ 5.4.6</t>
  </si>
  <si>
    <t>Fase 2</t>
  </si>
  <si>
    <t>Planontwikkeling</t>
  </si>
  <si>
    <t>Hoe organiseert u bewonersparticipatie?</t>
  </si>
  <si>
    <t>Bewonerscommunicatie en sociaal plan</t>
  </si>
  <si>
    <t>§ 5.4.3 / B9</t>
  </si>
  <si>
    <t>Bewonersbegeleiding</t>
  </si>
  <si>
    <t>§ 5.4.3</t>
  </si>
  <si>
    <t>Hoe voert u globale beoordelingen uit en op welke wijze komen de kwaliteitsuitgangspunten en prestatie eisen van een project tot stand?</t>
  </si>
  <si>
    <t>Globale beoordeling</t>
  </si>
  <si>
    <t>§ 5.4.1 / B13 - B14</t>
  </si>
  <si>
    <t>§ 5.4.2 / B12</t>
  </si>
  <si>
    <t>Prestatie indicatoren projectspecifiek</t>
  </si>
  <si>
    <t>Hoe maakt u kostenopgave van de ontwerp en engineering inzichtelijk voor de opdrachtgever?</t>
  </si>
  <si>
    <t>Kostenspecificatie</t>
  </si>
  <si>
    <t>§ 5.4.5 / B11</t>
  </si>
  <si>
    <t>Urenregistratie</t>
  </si>
  <si>
    <t>Hoe inspecteert u een gebouw/ complex?</t>
  </si>
  <si>
    <t>Inspectie</t>
  </si>
  <si>
    <t>§ 5.4.7</t>
  </si>
  <si>
    <t>Conditiemeting of prestatiemeting</t>
  </si>
  <si>
    <t>Inspecteur</t>
  </si>
  <si>
    <t>Fase 3</t>
  </si>
  <si>
    <t>Planuitwerking en optimalisatie</t>
  </si>
  <si>
    <t>Hoe stelt u onderhoudsscenario's op?</t>
  </si>
  <si>
    <t>Scenario</t>
  </si>
  <si>
    <t>§ 5.5.1 / B16</t>
  </si>
  <si>
    <t>Financiële resultaten / NCW</t>
  </si>
  <si>
    <t>§ 5.5.3</t>
  </si>
  <si>
    <t>Balanceren kwaliteitsuitgangspunten</t>
  </si>
  <si>
    <t>§ 5.5.3 / B18</t>
  </si>
  <si>
    <t>Risicomanagement</t>
  </si>
  <si>
    <t>§ 5.5.2 / B17</t>
  </si>
  <si>
    <t>Bouwkostenmanagement</t>
  </si>
  <si>
    <t>Fase 4</t>
  </si>
  <si>
    <t>Opdrachtverstrekking en</t>
  </si>
  <si>
    <t>Hoe bereidt u het project voor?</t>
  </si>
  <si>
    <t>Detaillering en optimalisering</t>
  </si>
  <si>
    <t>§ 5.6.1</t>
  </si>
  <si>
    <t>uitvoeringsvoorbereiding</t>
  </si>
  <si>
    <t>Subsidies, vergunningen, ontheffingen en beschikkingen</t>
  </si>
  <si>
    <t>Globale werkomschrijving</t>
  </si>
  <si>
    <t>Modelobject-woning</t>
  </si>
  <si>
    <t>Keuring- en kwaliteitbeheersingsplan</t>
  </si>
  <si>
    <t>§ 5.6.1 / B19 - B20</t>
  </si>
  <si>
    <t>Hoe maakt u definitieve afspraken met uw opdrachtgever en hoe maakt u lange termijn afspraken met ketenpartners?</t>
  </si>
  <si>
    <t>Aannemingsovereenkomst opdrachtgever</t>
  </si>
  <si>
    <t>§ 5.6.3 / B21</t>
  </si>
  <si>
    <t>Aannemingsovereenkomst onderaannemer</t>
  </si>
  <si>
    <t>§ 5.6.3</t>
  </si>
  <si>
    <t>Contractvorming</t>
  </si>
  <si>
    <t>Fase 5</t>
  </si>
  <si>
    <t>Projectuitvoering</t>
  </si>
  <si>
    <t>Hoe houdt u zicht op de kwaliteit in de uitvoering?</t>
  </si>
  <si>
    <t>Activiteitenplan en werkomschrijving</t>
  </si>
  <si>
    <t>§ 5.7.1</t>
  </si>
  <si>
    <t>Voorzieningen bewoonde staat</t>
  </si>
  <si>
    <t>Keuringen</t>
  </si>
  <si>
    <t>Kwaliteitscoördinator/ inspecteur</t>
  </si>
  <si>
    <t>Fase 6</t>
  </si>
  <si>
    <t>Oplevering</t>
  </si>
  <si>
    <t>Welke stappen onderneemt u om een project op te leveren?</t>
  </si>
  <si>
    <t>§ 5.7.2 / B22</t>
  </si>
  <si>
    <t>Protocollen</t>
  </si>
  <si>
    <t>Fase 7</t>
  </si>
  <si>
    <t>Beheerfase/ exploitatieperiode</t>
  </si>
  <si>
    <t>Welke stappen onderneemt u tijdens de exploitatieperiode?</t>
  </si>
  <si>
    <t>Periodiek aanpassen en optimaliseren onderhoudsscenario</t>
  </si>
  <si>
    <t>§ 5.8.2</t>
  </si>
  <si>
    <t>Periodieke metingen - eindkeuring</t>
  </si>
  <si>
    <t>§ 5.8.1 / B24</t>
  </si>
  <si>
    <t>puntenscore</t>
  </si>
  <si>
    <t>onderdeel</t>
  </si>
  <si>
    <t>extern</t>
  </si>
  <si>
    <t>keten</t>
  </si>
  <si>
    <t>Percentage</t>
  </si>
  <si>
    <t>vraag</t>
  </si>
  <si>
    <t>labels</t>
  </si>
  <si>
    <t>score</t>
  </si>
  <si>
    <t>beoordeling</t>
  </si>
  <si>
    <t>vraag-index</t>
  </si>
  <si>
    <t>copy-c</t>
  </si>
  <si>
    <t>copy-d</t>
  </si>
  <si>
    <t>score_o</t>
  </si>
  <si>
    <t>score_k</t>
  </si>
  <si>
    <t>profiel</t>
  </si>
  <si>
    <t>show</t>
  </si>
  <si>
    <t>gehaald</t>
  </si>
  <si>
    <t>max</t>
  </si>
  <si>
    <t>min</t>
  </si>
  <si>
    <t>min_o</t>
  </si>
  <si>
    <t>min_k</t>
  </si>
  <si>
    <t>min_%</t>
  </si>
  <si>
    <t>max_o</t>
  </si>
  <si>
    <t>max_k</t>
  </si>
  <si>
    <t>% goed</t>
  </si>
  <si>
    <t>vraag_beoordeling</t>
  </si>
  <si>
    <t>weging</t>
  </si>
  <si>
    <t>antwoord</t>
  </si>
  <si>
    <t>score_abs</t>
  </si>
  <si>
    <t>Beschouwt zichzelf als:</t>
  </si>
  <si>
    <t>disciplinematrixopties</t>
  </si>
  <si>
    <t>NVT</t>
  </si>
  <si>
    <t>E</t>
  </si>
  <si>
    <t>PU</t>
  </si>
  <si>
    <t>P</t>
  </si>
  <si>
    <t>DISCIPLINEMATRIX</t>
  </si>
  <si>
    <t>Onderhoud</t>
  </si>
  <si>
    <t>Renovatie</t>
  </si>
  <si>
    <t>Transformatie</t>
  </si>
  <si>
    <t>Indien afwijkend:</t>
  </si>
  <si>
    <t>(28.0) hoofddraagconstructie</t>
  </si>
  <si>
    <t>GEVEL</t>
  </si>
  <si>
    <t>(21.0) buitenwanden</t>
  </si>
  <si>
    <t>beton</t>
  </si>
  <si>
    <t>metselwerk</t>
  </si>
  <si>
    <t>natuursteen</t>
  </si>
  <si>
    <t>isolatie</t>
  </si>
  <si>
    <t>(31.0) buitenwandopeningen</t>
  </si>
  <si>
    <t>hout</t>
  </si>
  <si>
    <t>kunststof</t>
  </si>
  <si>
    <t>metaal</t>
  </si>
  <si>
    <t>(34.0) balustrades en leuningen</t>
  </si>
  <si>
    <t>glas</t>
  </si>
  <si>
    <t>(41.0) buitenwandafwerkingen</t>
  </si>
  <si>
    <t>pleisterwerk</t>
  </si>
  <si>
    <t>keimwerk</t>
  </si>
  <si>
    <t>impregneren</t>
  </si>
  <si>
    <t>DAKEN</t>
  </si>
  <si>
    <t>(27.0) daken</t>
  </si>
  <si>
    <t>dakbeschot</t>
  </si>
  <si>
    <t>energieopwekking</t>
  </si>
  <si>
    <t>groendak</t>
  </si>
  <si>
    <t>(37.0) dakopeningen</t>
  </si>
  <si>
    <t>(47.0) dakafwerkingen</t>
  </si>
  <si>
    <t>plat dak</t>
  </si>
  <si>
    <t>hellend dak</t>
  </si>
  <si>
    <t>metaal (zink/koper/alu)</t>
  </si>
  <si>
    <t>leien/riet</t>
  </si>
  <si>
    <t>(52.1) afvoeren; regenwater</t>
  </si>
  <si>
    <t>(75.0) vaste onderhoudsvrz</t>
  </si>
  <si>
    <t>INSTALLATIES</t>
  </si>
  <si>
    <t>(51.0 / 55.0 / 56.0) warmte-koude opwekking en distributie</t>
  </si>
  <si>
    <t>warmte</t>
  </si>
  <si>
    <t>koude</t>
  </si>
  <si>
    <t>collectief</t>
  </si>
  <si>
    <t>distributie</t>
  </si>
  <si>
    <t>(57.0) luchtbehandeling</t>
  </si>
  <si>
    <t>centraal</t>
  </si>
  <si>
    <t>decentraal</t>
  </si>
  <si>
    <t>(52.0 t/m 54.0) afvoeren en leidingwerk</t>
  </si>
  <si>
    <t>afvoeren</t>
  </si>
  <si>
    <t>water</t>
  </si>
  <si>
    <t>gassen</t>
  </si>
  <si>
    <t>(61.0 t/m 65.0, 67.0) elektro</t>
  </si>
  <si>
    <t>centrale elektro</t>
  </si>
  <si>
    <t>krachtstroom</t>
  </si>
  <si>
    <t>verlichting</t>
  </si>
  <si>
    <t>communicatie</t>
  </si>
  <si>
    <t>beveiliging</t>
  </si>
  <si>
    <t>INTERIEUR</t>
  </si>
  <si>
    <t>(22.1) binnenwanden; niet constructief</t>
  </si>
  <si>
    <t>(42.0 t/m 45.0) afwerkingen (binnenwand/vloer/trap/plafond)</t>
  </si>
  <si>
    <t>(71.0 / 72.0) vaste verkeers en gebruikersvoorzieningen</t>
  </si>
  <si>
    <t>(73.0) vaste keukenvoorzieningen</t>
  </si>
  <si>
    <t>(74.0) vaste sanitaire voorzieningen</t>
  </si>
  <si>
    <t>in stand houden (levensduurverlengen).</t>
  </si>
  <si>
    <t>opwaardering inclusief in stand houden.</t>
  </si>
  <si>
    <t>functiewijziging inclusief opwaardering.</t>
  </si>
  <si>
    <t>disciplinematrix_voorwaarden_meldingen</t>
  </si>
  <si>
    <t>alles ingevuld</t>
  </si>
  <si>
    <t>antwoorden</t>
  </si>
  <si>
    <t>1a</t>
  </si>
  <si>
    <t>1b</t>
  </si>
  <si>
    <t>2a</t>
  </si>
  <si>
    <t>2b</t>
  </si>
  <si>
    <t>2c</t>
  </si>
  <si>
    <t>3a</t>
  </si>
  <si>
    <t>3b</t>
  </si>
  <si>
    <t>4a</t>
  </si>
  <si>
    <t>4b</t>
  </si>
  <si>
    <t>4c</t>
  </si>
  <si>
    <t>5a</t>
  </si>
  <si>
    <t>5b</t>
  </si>
  <si>
    <t>6a</t>
  </si>
  <si>
    <t>6b</t>
  </si>
  <si>
    <t>7a</t>
  </si>
  <si>
    <t>7b</t>
  </si>
  <si>
    <t>8a</t>
  </si>
  <si>
    <t>8b</t>
  </si>
  <si>
    <t>8c</t>
  </si>
  <si>
    <t>9a</t>
  </si>
  <si>
    <t>9b</t>
  </si>
  <si>
    <t>10a</t>
  </si>
  <si>
    <t>10b</t>
  </si>
  <si>
    <t>10c</t>
  </si>
  <si>
    <t>11a</t>
  </si>
  <si>
    <t>11b</t>
  </si>
  <si>
    <t>12a</t>
  </si>
  <si>
    <t>12b</t>
  </si>
  <si>
    <t>12c</t>
  </si>
  <si>
    <t>13a</t>
  </si>
  <si>
    <t>13b</t>
  </si>
  <si>
    <t>13c</t>
  </si>
  <si>
    <t>13d</t>
  </si>
  <si>
    <t>13e</t>
  </si>
  <si>
    <t>14a</t>
  </si>
  <si>
    <t>14b</t>
  </si>
  <si>
    <t>14c</t>
  </si>
  <si>
    <t>14d</t>
  </si>
  <si>
    <t>14e</t>
  </si>
  <si>
    <t>15a</t>
  </si>
  <si>
    <t>15b</t>
  </si>
  <si>
    <t>15c</t>
  </si>
  <si>
    <t>16a</t>
  </si>
  <si>
    <t>16b</t>
  </si>
  <si>
    <t>16c</t>
  </si>
  <si>
    <t>16d</t>
  </si>
  <si>
    <t>17a</t>
  </si>
  <si>
    <t>18a</t>
  </si>
  <si>
    <t>18b</t>
  </si>
  <si>
    <t>SHOW</t>
  </si>
  <si>
    <t>gekozen</t>
  </si>
  <si>
    <t>kolom</t>
  </si>
  <si>
    <t>matrix_count</t>
  </si>
  <si>
    <t>vragen_uma_kolom</t>
  </si>
  <si>
    <t>mogelijke_scores</t>
  </si>
  <si>
    <t>scores toegestaan</t>
  </si>
  <si>
    <t>gewone vragen</t>
  </si>
  <si>
    <t>MUST vragen</t>
  </si>
  <si>
    <t>gewone vragen mag 1</t>
  </si>
  <si>
    <t>must-vraag</t>
  </si>
  <si>
    <t>gewone vraag</t>
  </si>
  <si>
    <t>gewone_1 vraag</t>
  </si>
  <si>
    <t>must-vraag gehaald</t>
  </si>
  <si>
    <t>gewone vraag gehaald</t>
  </si>
  <si>
    <t>gewone_1 vraag gehaald</t>
  </si>
  <si>
    <t>som_kolom</t>
  </si>
  <si>
    <t>validatie</t>
  </si>
  <si>
    <t>must</t>
  </si>
  <si>
    <t>gewoon</t>
  </si>
  <si>
    <t>gewoon_1</t>
  </si>
  <si>
    <t>vragen_voorwaarden_meldingen</t>
  </si>
  <si>
    <t>Een MUST-vraag moet minimaal antwoord 3 of 4 hebben.</t>
  </si>
  <si>
    <t>subselectie</t>
  </si>
  <si>
    <t>gewone</t>
  </si>
  <si>
    <t>gewone_1</t>
  </si>
  <si>
    <t>Deze vraag moet minimaal antwoord 2, 3 of 4 hebben.</t>
  </si>
  <si>
    <t>MUST-vragen</t>
  </si>
  <si>
    <t>% antwoord 3 of 4</t>
  </si>
  <si>
    <t>3 of 4</t>
  </si>
  <si>
    <t>VGO-KEURMERK behaald</t>
  </si>
  <si>
    <t>voorwaarden</t>
  </si>
  <si>
    <t>gekozen profiel</t>
  </si>
  <si>
    <t>Als deze regel van toepassing is, dan moet er iets geselecteerd worden voor Onderhoud, Renovatie en Transformatie.</t>
  </si>
  <si>
    <t>Voor elke discipline moet minimaal 1 regel ingevuld worden en aan alle voorwaarden worden voldaan.</t>
  </si>
  <si>
    <t>min_gewone_vragen</t>
  </si>
  <si>
    <t>vragen</t>
  </si>
  <si>
    <t>o</t>
  </si>
  <si>
    <t>k</t>
  </si>
  <si>
    <t>totaal</t>
  </si>
  <si>
    <t>3+4</t>
  </si>
  <si>
    <t>alles4</t>
  </si>
  <si>
    <t>min_o_vragen</t>
  </si>
  <si>
    <t>min_k_vragen</t>
  </si>
  <si>
    <t>Totaal aantal vragen</t>
  </si>
  <si>
    <t>vraag ingevuld</t>
  </si>
  <si>
    <t>De vraag moet ingevuld worden.</t>
  </si>
  <si>
    <t>comments</t>
  </si>
  <si>
    <t>vraag must</t>
  </si>
  <si>
    <t>vraag gewone 1</t>
  </si>
  <si>
    <t>vraag gewone</t>
  </si>
  <si>
    <t>vragen_totaal</t>
  </si>
  <si>
    <t>Kwaliteitsuitgangspunten en KPI’s 
duidelijk, eenduidig, bondig, toetsbaar</t>
  </si>
  <si>
    <t>min vragen gebaseerd op %</t>
  </si>
  <si>
    <t>max_o_vragen</t>
  </si>
  <si>
    <t>max_k_vragen</t>
  </si>
  <si>
    <t>target</t>
  </si>
  <si>
    <t>verschil max-score</t>
  </si>
  <si>
    <t>dikte target</t>
  </si>
  <si>
    <t>Inkooprisico</t>
  </si>
  <si>
    <t>§ 3.4</t>
  </si>
  <si>
    <r>
      <t xml:space="preserve">Kwaliteitsuitgangspunten en KPI’s 
</t>
    </r>
    <r>
      <rPr>
        <sz val="8"/>
        <color theme="1"/>
        <rFont val="Calibri"/>
        <family val="2"/>
      </rPr>
      <t>duidelijk, eenduidig, bondig, toetsbaar</t>
    </r>
  </si>
  <si>
    <t>18 vragen over 5 INK aandachtsgebieden en 7 fasen, 51 items</t>
  </si>
  <si>
    <t>8d</t>
  </si>
  <si>
    <t>17b</t>
  </si>
  <si>
    <t>Totaal mustvragen (eis: 3 of 4)</t>
  </si>
  <si>
    <t>Totaal gewone vragen (eis: 2 of hoger)</t>
  </si>
  <si>
    <t>letter in UMA-kolom</t>
  </si>
  <si>
    <t>Totaal extra vragen (eis: 1 of hoger)</t>
  </si>
  <si>
    <t>% Gewone vragen (met score 3 of 4)</t>
  </si>
  <si>
    <t>Extra vragen (mogelijke antwoorden 1, 2, 3 of 4)</t>
  </si>
  <si>
    <t>Gewone vragen (mogelijke antwoorden 2, 3 of 4)</t>
  </si>
  <si>
    <t>Gewone vragen</t>
  </si>
  <si>
    <t>projectleider:</t>
  </si>
  <si>
    <t>inspecteur:</t>
  </si>
  <si>
    <t>fase headers</t>
  </si>
  <si>
    <t>fase?</t>
  </si>
  <si>
    <t>fase show</t>
  </si>
  <si>
    <t>fase</t>
  </si>
  <si>
    <t>DISCIPLINE</t>
  </si>
  <si>
    <t>min disciplines goed</t>
  </si>
  <si>
    <t>Eis</t>
  </si>
  <si>
    <t>Hoe ziet uw primaire proces (RGS-proces) eruit en welke stappen zijn hier kritisch in?</t>
  </si>
  <si>
    <t>Wat kunt u bijdragen aan bewonersparticipatie?</t>
  </si>
  <si>
    <t>Hoe maakt u kostenopgave van het ontwerp en de engineering inzichtelijk voor de opdrachtgever?</t>
  </si>
  <si>
    <t>Conditiemeting of prestatiemeting incl.
invloedsfactoren en symptomen</t>
  </si>
  <si>
    <t>Resultaatovereenkomst RGS opdrachtgever</t>
  </si>
  <si>
    <t>Aanvullend specialisme (geen aparte discipline)</t>
  </si>
  <si>
    <t>Binnen een specialisme (21.0 buitenwanden, 31.0 buitenwandopeningen, etc) hoeven niet alle daarbinnen vallende activiteiten met eigen personeel te worden uitgevoerd. Wel moeten de genoemde werkzaamheden onder verantwoordelijkheid van het bedrijf worden aangeboden, aangestuurd en verantwoord en in geval van advisering op de juiste manier worden verwerkt in de advisering en scenario’s.</t>
  </si>
  <si>
    <t>V 5.0 KIWA</t>
  </si>
  <si>
    <t>De VGO-scan is niet fool proof. Het vereist de nodige deskundigheid op het gebied van Excel om er met succes mee te kunnen werken.</t>
  </si>
  <si>
    <t>3. Opzet</t>
  </si>
  <si>
    <t>Om te voorkomen dat er onbedoeld fouten worden gemaakt met de uitkomsten van de scan, zijn  er ook werkbladen en kolommen verborgen. Deze kolommen en werkbladen kunnen op eenvoudige wijze weer zichtbaar worden gemaakt. Gebruik hiervoor evt. de helpfunctie van Excel.</t>
  </si>
  <si>
    <t>Niet van toepassing</t>
  </si>
  <si>
    <t>Beperkt van toepassing:</t>
  </si>
  <si>
    <t>Grotendeels van toepassing:</t>
  </si>
  <si>
    <t>Geheel  van toepassing:</t>
  </si>
  <si>
    <t>wellicht is er de wens, maar omdat er feitelijk geen bewijs is kan er niet worden gescoord.</t>
  </si>
  <si>
    <t>de inhoud en strekking van het onderwerp zijn gedeeltelijk nog onderwerp van discussie, de aantoonbaarheid is moeilijk, toepassing geldt slechts voor een deel van de organisatie.</t>
  </si>
  <si>
    <t>de inhoud en strekking van het onderwerp worden onderschreven, dat is ook aantoonbaar, maar worden echter nog niet in de gehele organisatie toegepast.</t>
  </si>
  <si>
    <t>de inhoud en strekking van het onderwerp worden onderschreven, zijn aantoonbaar en worden in de gehele organisatie toegepast.</t>
  </si>
  <si>
    <t>Auditdatum:</t>
  </si>
  <si>
    <t>Resultaat Competentiescan</t>
  </si>
  <si>
    <t>Organisatie Must</t>
  </si>
  <si>
    <t>Kennis</t>
  </si>
  <si>
    <t>Kennis Must</t>
  </si>
  <si>
    <t>VGO eis</t>
  </si>
  <si>
    <t>groen transparant</t>
  </si>
  <si>
    <t>groen dikte</t>
  </si>
  <si>
    <t>r</t>
  </si>
  <si>
    <t>g</t>
  </si>
  <si>
    <t>groene blok</t>
  </si>
  <si>
    <t>K rood transparant</t>
  </si>
  <si>
    <t>K rood dikte</t>
  </si>
  <si>
    <t>K groen transparant</t>
  </si>
  <si>
    <t>K groen dikte</t>
  </si>
  <si>
    <t>groen gehaald</t>
  </si>
  <si>
    <t>rood niet gehaald</t>
  </si>
  <si>
    <t>Totaal disciplines</t>
  </si>
  <si>
    <t>Welk soort leiderschap streeft u na en waarom?</t>
  </si>
  <si>
    <t>Hoe weten uw medewerkers wat van hen wordt verwacht in kader van RGS?</t>
  </si>
  <si>
    <t>Hoe ontwerpt u een projectplan gebaseerd op de behoeften van de opdrachtgever?</t>
  </si>
  <si>
    <t>PE</t>
  </si>
  <si>
    <t>1 U of 1 PU of 1 PE</t>
  </si>
  <si>
    <t>1 P of 1 PU of 1 PE</t>
  </si>
  <si>
    <t>Totalen</t>
  </si>
  <si>
    <t>Max</t>
  </si>
  <si>
    <t>Min</t>
  </si>
  <si>
    <t>Minimum</t>
  </si>
  <si>
    <t>Behaald</t>
  </si>
  <si>
    <t>Aantal</t>
  </si>
  <si>
    <t>Alle</t>
  </si>
  <si>
    <t>Uitvoerder</t>
  </si>
  <si>
    <t>Meedenker</t>
  </si>
  <si>
    <t>Adviseur</t>
  </si>
  <si>
    <t>(M)</t>
  </si>
  <si>
    <t>tijdelijke MUST vragen</t>
  </si>
  <si>
    <t>must_tijdelijk</t>
  </si>
  <si>
    <t>must-tijdelijk vraag</t>
  </si>
  <si>
    <t>tijdelijke must-vraag gehaald</t>
  </si>
  <si>
    <t xml:space="preserve">Welke middelen ondersteunen het RGS proces? (geld, kennis, technologie, materialen, diensten, normen, BRL's , richtlijnen, etc.) </t>
  </si>
  <si>
    <t>Hoe borgt u kwaliteit en wat is kritisch in het project en proces?</t>
  </si>
  <si>
    <t>Welke processtappen onderneemt u tijdens de exploitatieperiode?</t>
  </si>
  <si>
    <t>Uw score</t>
  </si>
  <si>
    <t>vragen_tijdelijke_must</t>
  </si>
  <si>
    <t>Welke processtappen onderneemt u om een project op te leveren?</t>
  </si>
  <si>
    <t>ONTWIKKEL</t>
  </si>
  <si>
    <t>ontwikkelvragen</t>
  </si>
  <si>
    <t>ontwikkelvraag temp voor suggestie kolom</t>
  </si>
  <si>
    <t>ontwikkel vragen hulptabel</t>
  </si>
  <si>
    <t>G</t>
  </si>
  <si>
    <t>ontwikkelvraag temp voor suggestie kolom toegestane score</t>
  </si>
  <si>
    <t>ontwikkelvraag temp voor suggestie kolom score voldoende?</t>
  </si>
  <si>
    <t>ontwikkelvraag</t>
  </si>
  <si>
    <t>ontwikkelvraag gehaald</t>
  </si>
  <si>
    <t>Ontwikkelvragen</t>
  </si>
  <si>
    <t>Gemiddelde scores per onderdeel</t>
  </si>
  <si>
    <t>strengere eisen meegenomen</t>
  </si>
  <si>
    <t>mogelijke scores nu</t>
  </si>
  <si>
    <t>Ontwikkelmogelijkheid per vraag</t>
  </si>
  <si>
    <t>Score per onderdeel</t>
  </si>
  <si>
    <t>INK organisatiegebieden</t>
  </si>
  <si>
    <t>De VGO-scan toetst in welke mate een bedrijf over competenties beschikt om resultaatgericht vastgoedonderhoud, renovaties en transformaties uit te voeren.</t>
  </si>
  <si>
    <t>De competentiescan is gebaseerd op de Leidraad RGS bij Investeren en Onderhouden (herdruk maart 2015). Feitelijk toetst de scan of het bedrijf werkt conform deze Leidraad RGS. Bij elk vraagcluster wordt, voor verduidelijking of nadere informatie, steeds verwezen naar de Leidraad.</t>
  </si>
  <si>
    <t>De scan start met 5 vragenclusters over de INK-organisatiegebieden. Daarna volgen vragenclusters over de fases 1 tot en met 7 van het RGS-procesmodel.</t>
  </si>
  <si>
    <t>De competentiescan wordt uitgevraagd aan de hand van open vragen gecategoriseerd naar de INK organisatiegebieden en het RGS-procesmodel. Aan de hand van criteria vindt de beoordeling plaats op het gebied van organisatie- en kennisniveau.</t>
  </si>
  <si>
    <t>Vragen die betrekking hebben op de organisatie van het bedrijf zijn herkenbaar aan een O in de scan.</t>
  </si>
  <si>
    <t>Vragen die betrekking hebben op de kennis van het bedrijf zijn herkenbaar aan een K in de scan.</t>
  </si>
  <si>
    <t>Bij deze competentiescan is een uitgebreide toelichting beschikbaar. Deze toelichting vermeldt per vraag van de competentiescan het doel van de vraag, de kernwoorden, verwijzingen naar de relevante onderdelen uit de Leidraad RGS, de wijze van aantonen en wat voor soort vraag het betreft (gewone vraag, must vraag, extra vraag of ontwikkelvraag). Met de toelichting kunnen bedrijven zich  voorbereiden op de audit</t>
  </si>
  <si>
    <t xml:space="preserve">De competenties kunnen op verschillende onderscheiden disciplines aanwezig zijn. Voorafgaand aan de VGO-scan vult de organisatie die geaudit gaat worden zelf de disciplinematrix in (3e tabblad). Aan de hand van deze matrix kan de auditor de werkzaamheden voorbereiden.
</t>
  </si>
  <si>
    <t>De tool is behalve voor certificeringsdoeleinden, ook bedoeld als instrument voor bedrijfsontwikikeling. Het maakt de verbetermogelijkheden binnen een bedrijf inzichtelijk. In dat kader is het belangrijk om in elk geval alle vragen van de tool in te vullen.</t>
  </si>
  <si>
    <t>De toets dient te worden uitgevoerd door een onafhankelijke Certificatie Instelling (CI).</t>
  </si>
  <si>
    <t>2. Excel</t>
  </si>
  <si>
    <t>In verschillende werkbladen zijn de vragen opgenomen en worden berekeningen uitgevoerd. Tevens is voor de presentatie van het resultaat een aantal zgn. macro's opgenomen.</t>
  </si>
  <si>
    <t>Om te voorkomen dat gegevens verloren gaan, is het aan te raden om direct nadat het excelbestand is geopend, het op te slaan onder een nieuwe naam. Kies een gepaste "werktitel" voor de toets. (klik: bestand, opslaan als, voer werktitel in, enter)</t>
  </si>
  <si>
    <t>Het is tevens aan te raden om tussentijds regelmatig op te slaan. (klik: bestand, opslaan)</t>
  </si>
  <si>
    <t>De VGO-scan bestaat in totaal uit vijf werkbladen. Dit zijn:
- VGO-scan Info
- Algemene gegevens
- Disciplinematrix
- Vragen
- Resultaten</t>
  </si>
  <si>
    <t>De uitvoering van de VGO-scan verloopt als volgt:
1) Ga naar werkblad ‘Algemene gegevens’ en vul dit blad in
2) Ga naar werkblad ‘Disciplinematrix’
3) Vul in welke disciplines en specialismen het bedrijf denkt te beheersen en of dit op het gebied van onderhoud, renovatie of transformatie is. 
4) Ga naar werkblad 'Vragen',
5) Beantwoord de vragen (steeds nadat is aangetoond dat de bewering correct is), als volgt:</t>
  </si>
  <si>
    <t>6) Ga naar werkblad 'Resultaten': Het resultaat wordt weergegeven.</t>
  </si>
  <si>
    <t>5. Goedkeuringscriteria Competentiescan</t>
  </si>
  <si>
    <t xml:space="preserve">• 10 must-vragen, aangegeven met een M in de scan: Alle must-vragen dienen minimaal grotendeels of geheel van toepassing te zijn, derhalve een 3 of 4 te scoren.
</t>
  </si>
  <si>
    <t>• 4 extra vragen, aangegeven met E in de scan: Deze vragen mogen niet van toepassing zijn, derhalve een 1 scoren.</t>
  </si>
  <si>
    <t>6. Certificatie</t>
  </si>
  <si>
    <t>Er is sprake van één certificaat, namelijk VGO-Keur. Binnen VGO werken we met aantekeningen voor verschillende onderscheiden specialismen/disciplines, te weten: gevels, daken, installaties en interieur. Op het certificaat wordt aangetekend, welke discipline(s)/specialisme(n) het betreft. Binnen een specialisme hoeven niet alle daarbinnen vallende activiteiten met eigen personeel te worden uitgevoerd. Wel moeten de genoemde werkzaamheden onder verantwoordelijkheid van het bedrijf worden aangeboden, aangestuurd en verantwoord en in geval van advisering op de juiste manier worden verwerkt in de advisering en scenario’s.</t>
  </si>
  <si>
    <t>Bij aanmelding voor het verkrijgen van het certificaat moeten tenminste 3 RGS-projecten worden ingebracht die niet ouder zijn dan drie jaren.</t>
  </si>
  <si>
    <t>Bij de herbeoordeling dienen 3 projecten conform RGS te worden getoond. Hierbij geldt eveneens dat deze niet ouder mogen zijn dan 3 jaar (in de projecten moet actief gewerkt zijn conform de RGS-methode).</t>
  </si>
  <si>
    <t>Resultaatovereenkomst RGS partners</t>
  </si>
  <si>
    <t>(O)</t>
  </si>
  <si>
    <t>Totaal ontwikkelvragen (geen eis)</t>
  </si>
  <si>
    <t>toekomstige M bij 2</t>
  </si>
  <si>
    <t>Dit antwoord is nu nog acceptabel, maar vanaf 1 juli 2020 moet het antwoord tenminste 3 zijn.</t>
  </si>
  <si>
    <t>Score per vraag</t>
  </si>
  <si>
    <t>Score Kennisvragen VGO-KEURMERK</t>
  </si>
  <si>
    <t>Score Organisatievragen VGO-KEURMERK</t>
  </si>
  <si>
    <t>Gemiddelde score vragen VGO-KEURMERK</t>
  </si>
  <si>
    <t>Score Organisatie ontwikkelvragen</t>
  </si>
  <si>
    <t>Score Kennis ontwikkelvragen</t>
  </si>
  <si>
    <t>Deze toekomstige MUST-vraag moet minimaal antwoord 2, 3 of 4 hebben.</t>
  </si>
  <si>
    <t>labels dataseries 2</t>
  </si>
  <si>
    <t>dataseries 2</t>
  </si>
  <si>
    <t>rood</t>
  </si>
  <si>
    <t>groen</t>
  </si>
  <si>
    <t>Er wordt per onderwerp een bewijsvoering verwacht, bijvoorbeeld in de vorm van bijvoorbeeld projectdossiers, notulen, afschriften en rekeningen, offertes, opleveringsrapporten, etc. Ook worden medewerkers geïnterviewd. Het is tijdens de formele audit, uitgevoerd door Kiwa, niet toegestaan dat externe adviseurs aanwezig zijn bij de toetsing.</t>
  </si>
  <si>
    <t>Certificatie</t>
  </si>
  <si>
    <t>Kwartaal</t>
  </si>
  <si>
    <t>Jaar</t>
  </si>
  <si>
    <t>Discipline</t>
  </si>
  <si>
    <t>VGOkeurmerk</t>
  </si>
  <si>
    <t>Versie</t>
  </si>
  <si>
    <t>• 24 gewone vragen, aangegeven met een G in de scan: Alle gewone vragen moeten minimaal beperkt van toepassing zijn, derhalve een 2 t/m 4 scoren.</t>
  </si>
  <si>
    <t>• Van de in totaal 28 gewone en extra vragen dienen tenminste 17 vragen (&gt; 60%) minimaal grotendeels of geheel van toepassing te zijn, derhalve een 3 of 4 scoren.</t>
  </si>
  <si>
    <t>De 13 ontwikkelvragen, aangegeven met (O) in de scan zijn uitsluitend bedoeld om de ontwikkelmogelijkheden voor het bedrijf inzichtelijk te maken. Deze vragen zijn niet nodig voor het behalen van het VGO-keur.</t>
  </si>
  <si>
    <t>PE en ergens 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</si>
</sst>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fl&quot;\ * #,##0.00_-;_-&quot;fl&quot;\ * #,##0.00\-;_-&quot;fl&quot;\ * &quot;-&quot;??_-;_-@_-"/>
    <numFmt numFmtId="165" formatCode="[$-413]d\ mmmm\ yyyy;@"/>
    <numFmt numFmtId="166" formatCode=";;;"/>
  </numFmts>
  <fonts count="41">
    <font>
      <sz val="11"/>
      <color theme="1"/>
      <name val="Calibri"/>
      <family val="2"/>
      <scheme val="minor"/>
    </font>
    <font>
      <sz val="10"/>
      <name val="Arial"/>
      <family val="2"/>
    </font>
    <font>
      <sz val="12"/>
      <name val="Arial"/>
      <family val="2"/>
    </font>
    <font>
      <sz val="11"/>
      <name val="Arial"/>
      <family val="2"/>
    </font>
    <font>
      <b/>
      <sz val="11"/>
      <name val="Arial"/>
      <family val="2"/>
    </font>
    <font>
      <b/>
      <u val="single"/>
      <sz val="11"/>
      <name val="Arial"/>
      <family val="2"/>
    </font>
    <font>
      <b/>
      <sz val="14"/>
      <name val="Arial"/>
      <family val="2"/>
    </font>
    <font>
      <sz val="10"/>
      <color theme="1"/>
      <name val="Arial"/>
      <family val="2"/>
    </font>
    <font>
      <sz val="11"/>
      <color theme="1"/>
      <name val="Arial"/>
      <family val="2"/>
    </font>
    <font>
      <sz val="9"/>
      <name val="Arial"/>
      <family val="2"/>
    </font>
    <font>
      <sz val="11"/>
      <color theme="1"/>
      <name val="Calibri"/>
      <family val="2"/>
    </font>
    <font>
      <b/>
      <sz val="26"/>
      <color theme="1"/>
      <name val="Calibri"/>
      <family val="2"/>
    </font>
    <font>
      <sz val="20"/>
      <color theme="1"/>
      <name val="Calibri"/>
      <family val="2"/>
    </font>
    <font>
      <b/>
      <sz val="11"/>
      <color theme="1"/>
      <name val="Calibri"/>
      <family val="2"/>
    </font>
    <font>
      <sz val="11"/>
      <color theme="0"/>
      <name val="Calibri"/>
      <family val="2"/>
    </font>
    <font>
      <sz val="11"/>
      <name val="Calibri"/>
      <family val="2"/>
    </font>
    <font>
      <sz val="11"/>
      <color rgb="FF000000"/>
      <name val="Calibri"/>
      <family val="2"/>
    </font>
    <font>
      <sz val="8"/>
      <color theme="1"/>
      <name val="Calibri"/>
      <family val="2"/>
    </font>
    <font>
      <sz val="9"/>
      <color theme="1"/>
      <name val="Calibri"/>
      <family val="2"/>
    </font>
    <font>
      <b/>
      <sz val="9"/>
      <name val="Arial"/>
      <family val="2"/>
    </font>
    <font>
      <sz val="9"/>
      <color theme="1"/>
      <name val="Arial"/>
      <family val="2"/>
    </font>
    <font>
      <sz val="20"/>
      <color theme="0"/>
      <name val="Calibri"/>
      <family val="2"/>
    </font>
    <font>
      <i/>
      <sz val="11"/>
      <name val="Arial"/>
      <family val="2"/>
    </font>
    <font>
      <i/>
      <sz val="11"/>
      <color theme="1"/>
      <name val="Calibri"/>
      <family val="2"/>
      <scheme val="minor"/>
    </font>
    <font>
      <b/>
      <sz val="10"/>
      <name val="Arial"/>
      <family val="2"/>
    </font>
    <font>
      <sz val="9"/>
      <color theme="1"/>
      <name val="Calibri"/>
      <family val="2"/>
      <scheme val="minor"/>
    </font>
    <font>
      <b/>
      <sz val="9"/>
      <color theme="1"/>
      <name val="Calibri"/>
      <family val="2"/>
      <scheme val="minor"/>
    </font>
    <font>
      <sz val="14"/>
      <color theme="1"/>
      <name val="Calibri"/>
      <family val="2"/>
      <scheme val="minor"/>
    </font>
    <font>
      <sz val="20"/>
      <color theme="1"/>
      <name val="Calibri"/>
      <family val="2"/>
      <scheme val="minor"/>
    </font>
    <font>
      <b/>
      <sz val="30"/>
      <color theme="1"/>
      <name val="Calibri"/>
      <family val="2"/>
      <scheme val="minor"/>
    </font>
    <font>
      <sz val="25"/>
      <color theme="1"/>
      <name val="Calibri"/>
      <family val="2"/>
      <scheme val="minor"/>
    </font>
    <font>
      <sz val="22"/>
      <name val="Arial"/>
      <family val="2"/>
    </font>
    <font>
      <sz val="22"/>
      <color theme="1"/>
      <name val="Calibri"/>
      <family val="2"/>
      <scheme val="minor"/>
    </font>
    <font>
      <sz val="14"/>
      <color theme="1" tint="0.35"/>
      <name val="Calibri"/>
      <family val="2"/>
    </font>
    <font>
      <sz val="28"/>
      <color theme="1" tint="0.35"/>
      <name val="+mn-cs"/>
      <family val="2"/>
    </font>
    <font>
      <sz val="32"/>
      <color theme="1" tint="0.35"/>
      <name val="+mn-cs"/>
      <family val="2"/>
    </font>
    <font>
      <sz val="24"/>
      <color theme="1" tint="0.35"/>
      <name val="Calibri"/>
      <family val="2"/>
    </font>
    <font>
      <sz val="24"/>
      <color theme="1" tint="0.35"/>
      <name val="+mn-cs"/>
      <family val="2"/>
    </font>
    <font>
      <sz val="16"/>
      <color theme="1" tint="0.35"/>
      <name val="+mn-cs"/>
      <family val="2"/>
    </font>
    <font>
      <sz val="28"/>
      <color rgb="FF595959"/>
      <name val="Calibri"/>
      <family val="2"/>
    </font>
    <font>
      <sz val="20"/>
      <color theme="1" tint="0.35"/>
      <name val="+mn-cs"/>
      <family val="2"/>
    </font>
  </fonts>
  <fills count="16">
    <fill>
      <patternFill/>
    </fill>
    <fill>
      <patternFill patternType="gray125"/>
    </fill>
    <fill>
      <patternFill patternType="solid">
        <fgColor indexed="9"/>
        <bgColor indexed="64"/>
      </patternFill>
    </fill>
    <fill>
      <patternFill patternType="solid">
        <fgColor rgb="FFB2DE82"/>
        <bgColor indexed="64"/>
      </patternFill>
    </fill>
    <fill>
      <patternFill patternType="solid">
        <fgColor rgb="FFCEEAB0"/>
        <bgColor indexed="64"/>
      </patternFill>
    </fill>
    <fill>
      <patternFill patternType="solid">
        <fgColor theme="3" tint="0.5999900102615356"/>
        <bgColor indexed="64"/>
      </patternFill>
    </fill>
    <fill>
      <patternFill patternType="solid">
        <fgColor rgb="FF99FF33"/>
        <bgColor indexed="64"/>
      </patternFill>
    </fill>
    <fill>
      <patternFill patternType="solid">
        <fgColor theme="6" tint="-0.24997000396251678"/>
        <bgColor indexed="64"/>
      </patternFill>
    </fill>
    <fill>
      <patternFill patternType="solid">
        <fgColor rgb="FF000099"/>
        <bgColor indexed="64"/>
      </patternFill>
    </fill>
    <fill>
      <patternFill patternType="solid">
        <fgColor rgb="FF92D050"/>
        <bgColor indexed="64"/>
      </patternFill>
    </fill>
    <fill>
      <patternFill patternType="solid">
        <fgColor rgb="FF8DB3E2"/>
        <bgColor indexed="64"/>
      </patternFill>
    </fill>
    <fill>
      <patternFill patternType="solid">
        <fgColor rgb="FFFFFF00"/>
        <bgColor indexed="64"/>
      </patternFill>
    </fill>
    <fill>
      <patternFill patternType="solid">
        <fgColor rgb="FF76933C"/>
        <bgColor indexed="64"/>
      </patternFill>
    </fill>
    <fill>
      <patternFill patternType="solid">
        <fgColor rgb="FFFF0000"/>
        <bgColor indexed="64"/>
      </patternFill>
    </fill>
    <fill>
      <patternFill patternType="solid">
        <fgColor theme="0" tint="-0.149959996342659"/>
        <bgColor indexed="64"/>
      </patternFill>
    </fill>
    <fill>
      <patternFill patternType="solid">
        <fgColor rgb="FFC6D9F1"/>
        <bgColor indexed="64"/>
      </patternFill>
    </fill>
  </fills>
  <borders count="113">
    <border>
      <left/>
      <right/>
      <top/>
      <bottom/>
      <diagonal/>
    </border>
    <border>
      <left style="thin"/>
      <right style="thin"/>
      <top/>
      <bottom style="thin"/>
    </border>
    <border>
      <left style="thin"/>
      <right style="thin"/>
      <top style="thin"/>
      <bottom style="thin"/>
    </border>
    <border>
      <left style="thin"/>
      <right style="medium"/>
      <top style="medium"/>
      <bottom style="medium"/>
    </border>
    <border>
      <left style="thin"/>
      <right style="medium"/>
      <top style="thin"/>
      <bottom style="thin"/>
    </border>
    <border>
      <left style="thin"/>
      <right style="thin"/>
      <top style="medium"/>
      <bottom style="thin"/>
    </border>
    <border>
      <left style="thin"/>
      <right style="thin"/>
      <top style="thin"/>
      <bottom/>
    </border>
    <border>
      <left style="thin"/>
      <right style="thin"/>
      <top style="thin"/>
      <bottom style="medium"/>
    </border>
    <border>
      <left/>
      <right style="thin"/>
      <top style="medium"/>
      <bottom style="thin"/>
    </border>
    <border>
      <left/>
      <right style="thin"/>
      <top style="thin"/>
      <bottom style="thin"/>
    </border>
    <border>
      <left/>
      <right/>
      <top style="medium"/>
      <bottom/>
    </border>
    <border>
      <left/>
      <right style="medium"/>
      <top style="medium"/>
      <bottom/>
    </border>
    <border>
      <left style="medium"/>
      <right style="dashed">
        <color theme="0" tint="-0.24993999302387238"/>
      </right>
      <top style="medium"/>
      <bottom style="dotted">
        <color theme="0" tint="-0.3499799966812134"/>
      </bottom>
    </border>
    <border>
      <left style="dashed">
        <color theme="0" tint="-0.24993999302387238"/>
      </left>
      <right style="dashed">
        <color theme="0" tint="-0.24993999302387238"/>
      </right>
      <top style="medium"/>
      <bottom style="dotted">
        <color theme="0" tint="-0.3499799966812134"/>
      </bottom>
    </border>
    <border>
      <left style="dashed">
        <color theme="0" tint="-0.24993999302387238"/>
      </left>
      <right style="medium"/>
      <top style="medium"/>
      <bottom style="thin"/>
    </border>
    <border>
      <left/>
      <right style="medium"/>
      <top/>
      <bottom/>
    </border>
    <border>
      <left/>
      <right/>
      <top style="medium"/>
      <bottom style="medium"/>
    </border>
    <border>
      <left/>
      <right style="medium"/>
      <top style="medium"/>
      <bottom style="medium"/>
    </border>
    <border>
      <left/>
      <right style="dashed">
        <color theme="0" tint="-0.24993999302387238"/>
      </right>
      <top style="medium"/>
      <bottom style="dashed">
        <color theme="0" tint="-0.3499799966812134"/>
      </bottom>
    </border>
    <border>
      <left style="dashed">
        <color theme="0" tint="-0.24993999302387238"/>
      </left>
      <right style="thin"/>
      <top style="medium"/>
      <bottom style="dashed">
        <color theme="0" tint="-0.3499799966812134"/>
      </bottom>
    </border>
    <border>
      <left style="thin"/>
      <right style="dashed">
        <color theme="0" tint="-0.24993999302387238"/>
      </right>
      <top style="medium"/>
      <bottom style="dashed">
        <color theme="0" tint="-0.3499799966812134"/>
      </bottom>
    </border>
    <border>
      <left/>
      <right/>
      <top style="medium"/>
      <bottom style="dashed">
        <color theme="0" tint="-0.3499799966812134"/>
      </bottom>
    </border>
    <border>
      <left/>
      <right style="medium"/>
      <top style="medium"/>
      <bottom style="dashed">
        <color theme="0" tint="-0.3499799966812134"/>
      </bottom>
    </border>
    <border>
      <left/>
      <right style="dashed">
        <color theme="0" tint="-0.24993999302387238"/>
      </right>
      <top style="dashed">
        <color theme="0" tint="-0.3499799966812134"/>
      </top>
      <bottom style="dashed">
        <color theme="0" tint="-0.3499799966812134"/>
      </bottom>
    </border>
    <border>
      <left style="dashed">
        <color theme="0" tint="-0.24993999302387238"/>
      </left>
      <right style="thin"/>
      <top style="dashed">
        <color theme="0" tint="-0.3499799966812134"/>
      </top>
      <bottom style="dashed">
        <color theme="0" tint="-0.3499799966812134"/>
      </bottom>
    </border>
    <border>
      <left style="thin"/>
      <right style="dashed">
        <color theme="0" tint="-0.24993999302387238"/>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medium"/>
      <top style="dashed">
        <color theme="0" tint="-0.3499799966812134"/>
      </top>
      <bottom style="dashed">
        <color theme="0" tint="-0.3499799966812134"/>
      </bottom>
    </border>
    <border>
      <left/>
      <right style="dashed">
        <color theme="0" tint="-0.24993999302387238"/>
      </right>
      <top style="dashed">
        <color theme="0" tint="-0.3499799966812134"/>
      </top>
      <bottom style="medium"/>
    </border>
    <border>
      <left style="dashed">
        <color theme="0" tint="-0.24993999302387238"/>
      </left>
      <right style="thin"/>
      <top style="dashed">
        <color theme="0" tint="-0.3499799966812134"/>
      </top>
      <bottom style="medium"/>
    </border>
    <border>
      <left style="thin"/>
      <right style="dashed">
        <color theme="0" tint="-0.24993999302387238"/>
      </right>
      <top style="dashed">
        <color theme="0" tint="-0.3499799966812134"/>
      </top>
      <bottom style="medium"/>
    </border>
    <border>
      <left/>
      <right/>
      <top style="dashed">
        <color theme="0" tint="-0.3499799966812134"/>
      </top>
      <bottom style="medium"/>
    </border>
    <border>
      <left/>
      <right style="medium"/>
      <top style="dashed">
        <color theme="0" tint="-0.3499799966812134"/>
      </top>
      <bottom style="medium"/>
    </border>
    <border>
      <left style="dashed">
        <color theme="0" tint="-0.24993999302387238"/>
      </left>
      <right/>
      <top style="medium"/>
      <bottom style="dashed">
        <color theme="0" tint="-0.3499799966812134"/>
      </bottom>
    </border>
    <border>
      <left style="dashed">
        <color theme="0" tint="-0.24993999302387238"/>
      </left>
      <right style="medium"/>
      <top style="medium"/>
      <bottom style="dashed">
        <color theme="0" tint="-0.3499799966812134"/>
      </bottom>
    </border>
    <border>
      <left style="dashed">
        <color theme="0" tint="-0.24993999302387238"/>
      </left>
      <right/>
      <top style="dashed">
        <color theme="0" tint="-0.3499799966812134"/>
      </top>
      <bottom style="dashed">
        <color theme="0" tint="-0.3499799966812134"/>
      </bottom>
    </border>
    <border>
      <left style="dashed">
        <color theme="0" tint="-0.24993999302387238"/>
      </left>
      <right style="medium"/>
      <top style="dashed">
        <color theme="0" tint="-0.3499799966812134"/>
      </top>
      <bottom style="dashed">
        <color theme="0" tint="-0.3499799966812134"/>
      </bottom>
    </border>
    <border>
      <left style="dashed">
        <color theme="0" tint="-0.24993999302387238"/>
      </left>
      <right/>
      <top style="dashed">
        <color theme="0" tint="-0.3499799966812134"/>
      </top>
      <bottom style="medium"/>
    </border>
    <border>
      <left style="dashed">
        <color theme="0" tint="-0.24993999302387238"/>
      </left>
      <right style="medium"/>
      <top style="dashed">
        <color theme="0" tint="-0.3499799966812134"/>
      </top>
      <bottom style="medium"/>
    </border>
    <border>
      <left style="medium"/>
      <right style="dashed">
        <color theme="0" tint="-0.24993999302387238"/>
      </right>
      <top/>
      <bottom/>
    </border>
    <border>
      <left style="dashed">
        <color theme="0" tint="-0.24993999302387238"/>
      </left>
      <right style="dashed">
        <color theme="0" tint="-0.24993999302387238"/>
      </right>
      <top/>
      <bottom/>
    </border>
    <border>
      <left style="dashed">
        <color theme="0" tint="-0.24993999302387238"/>
      </left>
      <right style="medium"/>
      <top/>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border>
    <border>
      <left style="medium"/>
      <right style="thin"/>
      <top/>
      <bottom style="medium"/>
    </border>
    <border>
      <left style="thin"/>
      <right style="thin"/>
      <top style="medium"/>
      <bottom style="medium"/>
    </border>
    <border>
      <left style="medium"/>
      <right style="medium"/>
      <top style="medium"/>
      <bottom style="medium"/>
    </border>
    <border>
      <left style="medium"/>
      <right style="medium"/>
      <top/>
      <bottom/>
    </border>
    <border>
      <left style="medium"/>
      <right style="medium"/>
      <top/>
      <bottom style="medium"/>
    </border>
    <border>
      <left style="medium"/>
      <right/>
      <top style="medium"/>
      <bottom style="medium"/>
    </border>
    <border>
      <left/>
      <right style="thin"/>
      <top style="medium"/>
      <bottom style="medium"/>
    </border>
    <border>
      <left style="thin"/>
      <right/>
      <top style="medium"/>
      <bottom style="medium"/>
    </border>
    <border>
      <left style="medium"/>
      <right/>
      <top style="medium"/>
      <bottom/>
    </border>
    <border>
      <left/>
      <right style="thin"/>
      <top style="medium"/>
      <bottom/>
    </border>
    <border>
      <left style="thin"/>
      <right/>
      <top style="medium"/>
      <bottom/>
    </border>
    <border>
      <left style="medium"/>
      <right/>
      <top/>
      <bottom style="medium"/>
    </border>
    <border>
      <left/>
      <right style="thin"/>
      <top/>
      <bottom style="medium"/>
    </border>
    <border>
      <left/>
      <right/>
      <top/>
      <bottom style="medium"/>
    </border>
    <border>
      <left style="thin"/>
      <right/>
      <top/>
      <bottom style="medium"/>
    </border>
    <border>
      <left/>
      <right style="medium"/>
      <top/>
      <bottom style="medium"/>
    </border>
    <border>
      <left style="double"/>
      <right style="thin"/>
      <top style="medium"/>
      <bottom style="medium"/>
    </border>
    <border>
      <left style="thin"/>
      <right/>
      <top/>
      <bottom style="thin"/>
    </border>
    <border>
      <left/>
      <right/>
      <top style="medium"/>
      <bottom style="thin"/>
    </border>
    <border>
      <left style="double"/>
      <right style="thin"/>
      <top/>
      <bottom style="thin"/>
    </border>
    <border>
      <left style="thin"/>
      <right style="medium"/>
      <top/>
      <bottom style="thin"/>
    </border>
    <border>
      <left style="medium"/>
      <right/>
      <top/>
      <bottom/>
    </border>
    <border>
      <left/>
      <right style="thin"/>
      <top/>
      <bottom/>
    </border>
    <border>
      <left style="thin"/>
      <right style="thin"/>
      <top/>
      <bottom/>
    </border>
    <border>
      <left style="double"/>
      <right style="thin"/>
      <top style="thin"/>
      <bottom style="thin"/>
    </border>
    <border>
      <left style="thin"/>
      <right/>
      <top style="medium"/>
      <bottom style="thin"/>
    </border>
    <border>
      <left style="double"/>
      <right style="thin"/>
      <top style="medium"/>
      <bottom style="thin"/>
    </border>
    <border>
      <left style="thin"/>
      <right style="medium"/>
      <top style="medium"/>
      <bottom style="thin"/>
    </border>
    <border>
      <left style="thin"/>
      <right/>
      <top/>
      <bottom/>
    </border>
    <border>
      <left style="thin"/>
      <right/>
      <top style="thin"/>
      <bottom style="thin"/>
    </border>
    <border>
      <left/>
      <right/>
      <top style="thin"/>
      <bottom style="thin"/>
    </border>
    <border>
      <left style="thin"/>
      <right/>
      <top style="thin"/>
      <bottom/>
    </border>
    <border>
      <left/>
      <right/>
      <top style="thin"/>
      <bottom style="medium"/>
    </border>
    <border>
      <left style="double"/>
      <right style="thin"/>
      <top style="thin"/>
      <bottom/>
    </border>
    <border>
      <left style="thin"/>
      <right style="medium"/>
      <top style="thin"/>
      <bottom/>
    </border>
    <border>
      <left style="thin"/>
      <right/>
      <top style="thin"/>
      <bottom style="medium"/>
    </border>
    <border>
      <left style="double"/>
      <right style="thin"/>
      <top style="thin"/>
      <bottom style="medium"/>
    </border>
    <border>
      <left style="thin"/>
      <right style="medium"/>
      <top style="thin"/>
      <bottom style="medium"/>
    </border>
    <border>
      <left/>
      <right style="thin"/>
      <top/>
      <bottom style="thin"/>
    </border>
    <border>
      <left/>
      <right style="thin"/>
      <top style="thin"/>
      <bottom style="medium"/>
    </border>
    <border>
      <left/>
      <right/>
      <top/>
      <bottom style="thin"/>
    </border>
    <border>
      <left style="thin"/>
      <right style="thin"/>
      <top/>
      <bottom style="medium"/>
    </border>
    <border>
      <left/>
      <right style="thin"/>
      <top style="thin"/>
      <bottom/>
    </border>
    <border>
      <left/>
      <right/>
      <top style="thin"/>
      <bottom/>
    </border>
    <border>
      <left style="medium"/>
      <right style="thin"/>
      <top style="medium"/>
      <bottom/>
    </border>
    <border>
      <left style="thin"/>
      <right style="medium"/>
      <top style="medium"/>
      <bottom/>
    </border>
    <border>
      <left style="medium"/>
      <right style="medium"/>
      <top style="medium"/>
      <bottom/>
    </border>
    <border>
      <left style="thin"/>
      <right style="medium"/>
      <top/>
      <bottom style="medium"/>
    </border>
    <border>
      <left style="medium"/>
      <right style="dashed">
        <color theme="0" tint="-0.24993999302387238"/>
      </right>
      <top style="medium"/>
      <bottom style="medium"/>
    </border>
    <border>
      <left style="dashed">
        <color theme="0" tint="-0.24993999302387238"/>
      </left>
      <right style="dashed">
        <color theme="0" tint="-0.24993999302387238"/>
      </right>
      <top style="medium"/>
      <bottom style="medium"/>
    </border>
    <border>
      <left style="dashed">
        <color theme="0" tint="-0.24993999302387238"/>
      </left>
      <right style="medium"/>
      <top style="medium"/>
      <bottom style="medium"/>
    </border>
    <border>
      <left style="medium"/>
      <right style="dashed">
        <color theme="0" tint="-0.24993999302387238"/>
      </right>
      <top/>
      <bottom style="medium"/>
    </border>
    <border>
      <left style="dashed">
        <color theme="0" tint="-0.24993999302387238"/>
      </left>
      <right style="dashed">
        <color theme="0" tint="-0.24993999302387238"/>
      </right>
      <top/>
      <bottom style="medium"/>
    </border>
    <border>
      <left style="dashed">
        <color theme="0" tint="-0.24993999302387238"/>
      </left>
      <right style="medium"/>
      <top/>
      <bottom style="medium"/>
    </border>
    <border>
      <left style="medium">
        <color rgb="FF17365D"/>
      </left>
      <right style="medium">
        <color rgb="FF17365D"/>
      </right>
      <top style="medium">
        <color rgb="FF17365D"/>
      </top>
      <bottom style="medium">
        <color rgb="FF17365D"/>
      </bottom>
    </border>
    <border>
      <left/>
      <right style="medium">
        <color rgb="FF17365D"/>
      </right>
      <top style="medium">
        <color rgb="FF17365D"/>
      </top>
      <bottom style="medium">
        <color rgb="FF17365D"/>
      </bottom>
    </border>
    <border>
      <left style="medium">
        <color rgb="FF17365D"/>
      </left>
      <right style="medium">
        <color rgb="FF17365D"/>
      </right>
      <top/>
      <bottom style="medium">
        <color rgb="FF17365D"/>
      </bottom>
    </border>
    <border>
      <left/>
      <right style="medium">
        <color rgb="FF17365D"/>
      </right>
      <top/>
      <bottom style="medium">
        <color rgb="FF17365D"/>
      </bottom>
    </border>
    <border>
      <left/>
      <right style="medium"/>
      <top style="medium"/>
      <bottom style="thin"/>
    </border>
    <border>
      <left/>
      <right style="medium"/>
      <top style="thin"/>
      <bottom style="thin"/>
    </border>
    <border>
      <left/>
      <right style="medium"/>
      <top style="thin"/>
      <bottom style="medium"/>
    </border>
    <border>
      <left style="thin"/>
      <right style="medium"/>
      <top/>
      <bottom/>
    </border>
    <border>
      <left style="thin"/>
      <right style="double"/>
      <top style="medium"/>
      <bottom/>
    </border>
    <border>
      <left style="thin"/>
      <right style="double"/>
      <top/>
      <bottom style="medium"/>
    </border>
    <border>
      <left style="thin"/>
      <right style="double"/>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0" fontId="1" fillId="0" borderId="0">
      <alignment/>
      <protection/>
    </xf>
    <xf numFmtId="0" fontId="10" fillId="0" borderId="0">
      <alignment/>
      <protection/>
    </xf>
    <xf numFmtId="9" fontId="10" fillId="0" borderId="0" applyFont="0" applyFill="0" applyBorder="0" applyAlignment="0" applyProtection="0"/>
  </cellStyleXfs>
  <cellXfs count="716">
    <xf numFmtId="0" fontId="0" fillId="0" borderId="0" xfId="0"/>
    <xf numFmtId="0" fontId="0" fillId="0" borderId="0" xfId="0" applyAlignment="1">
      <alignment wrapText="1"/>
    </xf>
    <xf numFmtId="0" fontId="0" fillId="0" borderId="0" xfId="0"/>
    <xf numFmtId="0" fontId="7" fillId="0" borderId="0" xfId="0" applyFont="1"/>
    <xf numFmtId="0" fontId="0" fillId="0" borderId="0" xfId="0"/>
    <xf numFmtId="0" fontId="7" fillId="0" borderId="0" xfId="0" applyFont="1"/>
    <xf numFmtId="0" fontId="0" fillId="0" borderId="0" xfId="0"/>
    <xf numFmtId="0" fontId="1" fillId="0" borderId="1" xfId="20" applyBorder="1" applyProtection="1">
      <alignment/>
      <protection locked="0"/>
    </xf>
    <xf numFmtId="0" fontId="1" fillId="0" borderId="2" xfId="20" applyBorder="1" applyProtection="1">
      <alignment/>
      <protection locked="0"/>
    </xf>
    <xf numFmtId="14" fontId="1" fillId="0" borderId="3" xfId="20" applyNumberFormat="1" applyBorder="1" applyAlignment="1" applyProtection="1">
      <alignment/>
      <protection locked="0"/>
    </xf>
    <xf numFmtId="0" fontId="2" fillId="2" borderId="0" xfId="22" applyFont="1" applyFill="1" applyProtection="1">
      <alignment/>
      <protection/>
    </xf>
    <xf numFmtId="0" fontId="1" fillId="0" borderId="4" xfId="20" applyBorder="1" applyAlignment="1" applyProtection="1">
      <alignment horizontal="left"/>
      <protection locked="0"/>
    </xf>
    <xf numFmtId="0" fontId="2" fillId="3" borderId="0" xfId="22" applyFont="1" applyFill="1" applyBorder="1" applyProtection="1">
      <alignment/>
      <protection locked="0"/>
    </xf>
    <xf numFmtId="0" fontId="2" fillId="4" borderId="0" xfId="22" applyFont="1" applyFill="1" applyBorder="1" applyProtection="1">
      <alignment/>
      <protection locked="0"/>
    </xf>
    <xf numFmtId="0" fontId="1" fillId="0" borderId="0" xfId="20" applyAlignment="1" applyProtection="1">
      <alignment wrapText="1"/>
      <protection/>
    </xf>
    <xf numFmtId="17" fontId="2" fillId="0" borderId="0" xfId="20" applyNumberFormat="1" applyFont="1" applyAlignment="1" applyProtection="1">
      <alignment horizontal="left" vertical="top" wrapText="1"/>
      <protection/>
    </xf>
    <xf numFmtId="0" fontId="2" fillId="0" borderId="0" xfId="20" applyFont="1" applyAlignment="1" applyProtection="1">
      <alignment wrapText="1"/>
      <protection/>
    </xf>
    <xf numFmtId="0" fontId="0" fillId="0" borderId="0" xfId="0" applyProtection="1">
      <protection/>
    </xf>
    <xf numFmtId="9" fontId="0" fillId="0" borderId="0" xfId="0" applyNumberFormat="1"/>
    <xf numFmtId="0" fontId="10" fillId="0" borderId="0" xfId="23" applyFont="1" applyFill="1" applyBorder="1" applyAlignment="1">
      <alignment vertical="top"/>
      <protection/>
    </xf>
    <xf numFmtId="0" fontId="10" fillId="0" borderId="0" xfId="23" applyFont="1" applyFill="1" applyBorder="1" applyAlignment="1">
      <alignment horizontal="center" vertical="top"/>
      <protection/>
    </xf>
    <xf numFmtId="1" fontId="0" fillId="0" borderId="0" xfId="0" applyNumberFormat="1"/>
    <xf numFmtId="0" fontId="0" fillId="0" borderId="0" xfId="0" applyFill="1"/>
    <xf numFmtId="9" fontId="0" fillId="0" borderId="0" xfId="0" applyNumberFormat="1" applyFill="1"/>
    <xf numFmtId="0" fontId="10" fillId="0" borderId="1" xfId="23" applyBorder="1" applyAlignment="1" applyProtection="1">
      <alignment horizontal="center" vertical="top"/>
      <protection locked="0"/>
    </xf>
    <xf numFmtId="0" fontId="10" fillId="0" borderId="5" xfId="23" applyBorder="1" applyAlignment="1" applyProtection="1">
      <alignment horizontal="center" vertical="top"/>
      <protection locked="0"/>
    </xf>
    <xf numFmtId="0" fontId="10" fillId="0" borderId="2" xfId="23" applyBorder="1" applyAlignment="1" applyProtection="1">
      <alignment horizontal="center" vertical="top"/>
      <protection locked="0"/>
    </xf>
    <xf numFmtId="0" fontId="10" fillId="0" borderId="6" xfId="23" applyBorder="1" applyAlignment="1" applyProtection="1">
      <alignment horizontal="center" vertical="top"/>
      <protection locked="0"/>
    </xf>
    <xf numFmtId="0" fontId="10" fillId="0" borderId="7" xfId="23" applyBorder="1" applyAlignment="1" applyProtection="1">
      <alignment horizontal="center" vertical="top"/>
      <protection locked="0"/>
    </xf>
    <xf numFmtId="0" fontId="10" fillId="0" borderId="8" xfId="23" applyBorder="1" applyAlignment="1" applyProtection="1">
      <alignment horizontal="center" vertical="top"/>
      <protection locked="0"/>
    </xf>
    <xf numFmtId="0" fontId="10" fillId="0" borderId="9" xfId="23" applyBorder="1" applyAlignment="1" applyProtection="1">
      <alignment horizontal="center" vertical="top"/>
      <protection locked="0"/>
    </xf>
    <xf numFmtId="0" fontId="10" fillId="0" borderId="0" xfId="23" applyProtection="1">
      <alignment/>
      <protection/>
    </xf>
    <xf numFmtId="0" fontId="10" fillId="0" borderId="10" xfId="23" applyBorder="1" applyProtection="1">
      <alignment/>
      <protection/>
    </xf>
    <xf numFmtId="0" fontId="10" fillId="0" borderId="11" xfId="23" applyBorder="1" applyProtection="1">
      <alignment/>
      <protection/>
    </xf>
    <xf numFmtId="0" fontId="10" fillId="0" borderId="0" xfId="23" applyFill="1" applyProtection="1">
      <alignment/>
      <protection/>
    </xf>
    <xf numFmtId="0" fontId="4" fillId="5" borderId="12" xfId="23" applyFont="1" applyFill="1" applyBorder="1" applyAlignment="1" applyProtection="1">
      <alignment horizontal="center" vertical="center" readingOrder="1"/>
      <protection/>
    </xf>
    <xf numFmtId="0" fontId="4" fillId="5" borderId="13" xfId="23" applyFont="1" applyFill="1" applyBorder="1" applyAlignment="1" applyProtection="1">
      <alignment horizontal="center" vertical="center" readingOrder="1"/>
      <protection/>
    </xf>
    <xf numFmtId="0" fontId="4" fillId="5" borderId="14" xfId="23" applyFont="1" applyFill="1" applyBorder="1" applyAlignment="1" applyProtection="1">
      <alignment horizontal="center" vertical="center" readingOrder="1"/>
      <protection/>
    </xf>
    <xf numFmtId="0" fontId="10" fillId="0" borderId="0" xfId="23" applyFill="1" applyBorder="1" applyProtection="1">
      <alignment/>
      <protection/>
    </xf>
    <xf numFmtId="0" fontId="10" fillId="0" borderId="15" xfId="23" applyFill="1" applyBorder="1" applyProtection="1">
      <alignment/>
      <protection/>
    </xf>
    <xf numFmtId="0" fontId="4" fillId="5" borderId="16" xfId="23" applyFont="1" applyFill="1" applyBorder="1" applyProtection="1">
      <alignment/>
      <protection/>
    </xf>
    <xf numFmtId="0" fontId="4" fillId="5" borderId="17" xfId="23" applyFont="1" applyFill="1" applyBorder="1" applyProtection="1">
      <alignment/>
      <protection/>
    </xf>
    <xf numFmtId="0" fontId="9" fillId="0" borderId="18" xfId="23" applyFont="1" applyBorder="1" applyAlignment="1" applyProtection="1">
      <alignment horizontal="left" vertical="center" readingOrder="1"/>
      <protection/>
    </xf>
    <xf numFmtId="0" fontId="9" fillId="0" borderId="19" xfId="23" applyFont="1" applyBorder="1" applyAlignment="1" applyProtection="1">
      <alignment horizontal="left" vertical="center" readingOrder="1"/>
      <protection/>
    </xf>
    <xf numFmtId="0" fontId="9" fillId="0" borderId="20" xfId="23" applyFont="1" applyBorder="1" applyAlignment="1" applyProtection="1">
      <alignment horizontal="left" vertical="center" readingOrder="1"/>
      <protection/>
    </xf>
    <xf numFmtId="0" fontId="18" fillId="0" borderId="21" xfId="23" applyFont="1" applyBorder="1" applyProtection="1">
      <alignment/>
      <protection/>
    </xf>
    <xf numFmtId="0" fontId="18" fillId="0" borderId="22" xfId="23" applyFont="1" applyBorder="1" applyProtection="1">
      <alignment/>
      <protection/>
    </xf>
    <xf numFmtId="0" fontId="4" fillId="5" borderId="10" xfId="23" applyFont="1" applyFill="1" applyBorder="1" applyProtection="1">
      <alignment/>
      <protection/>
    </xf>
    <xf numFmtId="0" fontId="4" fillId="5" borderId="11" xfId="23" applyFont="1" applyFill="1" applyBorder="1" applyProtection="1">
      <alignment/>
      <protection/>
    </xf>
    <xf numFmtId="0" fontId="9" fillId="0" borderId="23" xfId="23" applyFont="1" applyBorder="1" applyAlignment="1" applyProtection="1">
      <alignment horizontal="left" vertical="center" readingOrder="1"/>
      <protection/>
    </xf>
    <xf numFmtId="0" fontId="9" fillId="0" borderId="24" xfId="23" applyFont="1" applyBorder="1" applyAlignment="1" applyProtection="1">
      <alignment horizontal="left" vertical="center" readingOrder="1"/>
      <protection/>
    </xf>
    <xf numFmtId="0" fontId="9" fillId="0" borderId="25" xfId="23" applyFont="1" applyBorder="1" applyAlignment="1" applyProtection="1">
      <alignment horizontal="left" vertical="center" readingOrder="1"/>
      <protection/>
    </xf>
    <xf numFmtId="0" fontId="18" fillId="0" borderId="26" xfId="23" applyFont="1" applyBorder="1" applyProtection="1">
      <alignment/>
      <protection/>
    </xf>
    <xf numFmtId="0" fontId="18" fillId="0" borderId="27" xfId="23" applyFont="1" applyBorder="1" applyProtection="1">
      <alignment/>
      <protection/>
    </xf>
    <xf numFmtId="0" fontId="9" fillId="0" borderId="28" xfId="23" applyFont="1" applyBorder="1" applyAlignment="1" applyProtection="1">
      <alignment horizontal="left" vertical="center" readingOrder="1"/>
      <protection/>
    </xf>
    <xf numFmtId="0" fontId="9" fillId="0" borderId="29" xfId="23" applyFont="1" applyBorder="1" applyAlignment="1" applyProtection="1">
      <alignment horizontal="left" vertical="center" readingOrder="1"/>
      <protection/>
    </xf>
    <xf numFmtId="0" fontId="9" fillId="0" borderId="30" xfId="23" applyFont="1" applyBorder="1" applyAlignment="1" applyProtection="1">
      <alignment horizontal="left" vertical="center" readingOrder="1"/>
      <protection/>
    </xf>
    <xf numFmtId="0" fontId="18" fillId="0" borderId="31" xfId="23" applyFont="1" applyBorder="1" applyProtection="1">
      <alignment/>
      <protection/>
    </xf>
    <xf numFmtId="0" fontId="18" fillId="0" borderId="32" xfId="23" applyFont="1" applyBorder="1" applyProtection="1">
      <alignment/>
      <protection/>
    </xf>
    <xf numFmtId="0" fontId="19" fillId="5" borderId="0" xfId="23" applyFont="1" applyFill="1" applyBorder="1" applyProtection="1">
      <alignment/>
      <protection/>
    </xf>
    <xf numFmtId="0" fontId="19" fillId="5" borderId="10" xfId="23" applyFont="1" applyFill="1" applyBorder="1" applyProtection="1">
      <alignment/>
      <protection/>
    </xf>
    <xf numFmtId="0" fontId="19" fillId="5" borderId="11" xfId="23" applyFont="1" applyFill="1" applyBorder="1" applyProtection="1">
      <alignment/>
      <protection/>
    </xf>
    <xf numFmtId="0" fontId="9" fillId="0" borderId="33" xfId="23" applyFont="1" applyBorder="1" applyAlignment="1" applyProtection="1">
      <alignment horizontal="left" vertical="center" readingOrder="1"/>
      <protection/>
    </xf>
    <xf numFmtId="0" fontId="9" fillId="0" borderId="34" xfId="23" applyFont="1" applyBorder="1" applyAlignment="1" applyProtection="1">
      <alignment horizontal="left" vertical="center" readingOrder="1"/>
      <protection/>
    </xf>
    <xf numFmtId="0" fontId="9" fillId="0" borderId="35" xfId="23" applyFont="1" applyBorder="1" applyAlignment="1" applyProtection="1">
      <alignment horizontal="left" vertical="center" readingOrder="1"/>
      <protection/>
    </xf>
    <xf numFmtId="0" fontId="9" fillId="0" borderId="36" xfId="23" applyFont="1" applyBorder="1" applyAlignment="1" applyProtection="1">
      <alignment horizontal="left" vertical="center" readingOrder="1"/>
      <protection/>
    </xf>
    <xf numFmtId="0" fontId="9" fillId="0" borderId="37" xfId="23" applyFont="1" applyBorder="1" applyAlignment="1" applyProtection="1">
      <alignment horizontal="left" vertical="center" readingOrder="1"/>
      <protection/>
    </xf>
    <xf numFmtId="0" fontId="9" fillId="0" borderId="38" xfId="23" applyFont="1" applyBorder="1" applyAlignment="1" applyProtection="1">
      <alignment horizontal="left" vertical="center" readingOrder="1"/>
      <protection/>
    </xf>
    <xf numFmtId="0" fontId="17" fillId="0" borderId="0" xfId="23" applyFont="1" applyProtection="1">
      <alignment/>
      <protection/>
    </xf>
    <xf numFmtId="0" fontId="20" fillId="0" borderId="31" xfId="23" applyFont="1" applyBorder="1" applyProtection="1">
      <alignment/>
      <protection/>
    </xf>
    <xf numFmtId="0" fontId="3" fillId="0" borderId="0" xfId="23" applyFont="1" applyProtection="1">
      <alignment/>
      <protection/>
    </xf>
    <xf numFmtId="0" fontId="3" fillId="0" borderId="0" xfId="23" applyFont="1" applyBorder="1" applyAlignment="1" applyProtection="1">
      <alignment horizontal="left" vertical="center" readingOrder="1"/>
      <protection/>
    </xf>
    <xf numFmtId="0" fontId="3" fillId="0" borderId="39" xfId="23" applyFont="1" applyBorder="1" applyAlignment="1" applyProtection="1">
      <alignment horizontal="center" vertical="center" readingOrder="1"/>
      <protection locked="0"/>
    </xf>
    <xf numFmtId="0" fontId="3" fillId="0" borderId="40" xfId="23" applyFont="1" applyBorder="1" applyAlignment="1" applyProtection="1">
      <alignment horizontal="center" vertical="center" readingOrder="1"/>
      <protection locked="0"/>
    </xf>
    <xf numFmtId="0" fontId="3" fillId="0" borderId="41" xfId="23" applyFont="1" applyBorder="1" applyAlignment="1" applyProtection="1">
      <alignment horizontal="center" vertical="center" readingOrder="1"/>
      <protection locked="0"/>
    </xf>
    <xf numFmtId="0" fontId="6" fillId="0" borderId="0" xfId="20" applyFont="1" applyAlignment="1" applyProtection="1">
      <alignment vertical="top" wrapText="1"/>
      <protection/>
    </xf>
    <xf numFmtId="0" fontId="0" fillId="0" borderId="0" xfId="0" applyAlignment="1" applyProtection="1">
      <alignment horizontal="right"/>
      <protection/>
    </xf>
    <xf numFmtId="17" fontId="0" fillId="0" borderId="0" xfId="0" applyNumberFormat="1" applyAlignment="1" applyProtection="1">
      <alignment horizontal="left"/>
      <protection/>
    </xf>
    <xf numFmtId="0" fontId="1" fillId="0" borderId="42" xfId="20" applyBorder="1" applyProtection="1">
      <alignment/>
      <protection/>
    </xf>
    <xf numFmtId="14" fontId="1" fillId="0" borderId="0" xfId="20" applyNumberFormat="1" applyBorder="1" applyAlignment="1" applyProtection="1">
      <alignment/>
      <protection/>
    </xf>
    <xf numFmtId="0" fontId="1" fillId="0" borderId="0" xfId="20" applyProtection="1">
      <alignment/>
      <protection/>
    </xf>
    <xf numFmtId="0" fontId="1" fillId="0" borderId="43" xfId="20" applyBorder="1" applyProtection="1">
      <alignment/>
      <protection/>
    </xf>
    <xf numFmtId="0" fontId="1" fillId="0" borderId="44" xfId="20" applyBorder="1" applyProtection="1">
      <alignment/>
      <protection/>
    </xf>
    <xf numFmtId="0" fontId="1" fillId="0" borderId="45" xfId="20" applyBorder="1" applyProtection="1">
      <alignment/>
      <protection/>
    </xf>
    <xf numFmtId="0" fontId="1" fillId="0" borderId="46" xfId="20" applyBorder="1" applyProtection="1">
      <alignment/>
      <protection/>
    </xf>
    <xf numFmtId="0" fontId="1" fillId="0" borderId="0" xfId="20" applyBorder="1" applyAlignment="1" applyProtection="1">
      <alignment horizontal="left"/>
      <protection/>
    </xf>
    <xf numFmtId="0" fontId="1" fillId="0" borderId="47" xfId="20" applyBorder="1" applyProtection="1">
      <alignment/>
      <protection/>
    </xf>
    <xf numFmtId="0" fontId="1" fillId="0" borderId="1" xfId="20" applyBorder="1" applyProtection="1">
      <alignment/>
      <protection/>
    </xf>
    <xf numFmtId="0" fontId="1" fillId="0" borderId="2" xfId="20" applyBorder="1" applyProtection="1">
      <alignment/>
      <protection/>
    </xf>
    <xf numFmtId="0" fontId="1" fillId="0" borderId="48" xfId="20" applyBorder="1" applyProtection="1">
      <alignment/>
      <protection/>
    </xf>
    <xf numFmtId="0" fontId="1" fillId="0" borderId="7" xfId="20" applyBorder="1" applyProtection="1">
      <alignment/>
      <protection/>
    </xf>
    <xf numFmtId="0" fontId="1" fillId="0" borderId="49" xfId="20" applyBorder="1" applyProtection="1">
      <alignment/>
      <protection/>
    </xf>
    <xf numFmtId="0" fontId="4" fillId="5" borderId="50" xfId="23" applyFont="1" applyFill="1" applyBorder="1" applyProtection="1">
      <alignment/>
      <protection/>
    </xf>
    <xf numFmtId="0" fontId="3" fillId="0" borderId="51" xfId="23" applyFont="1" applyFill="1" applyBorder="1" applyProtection="1">
      <alignment/>
      <protection/>
    </xf>
    <xf numFmtId="0" fontId="3" fillId="0" borderId="52" xfId="23" applyFont="1" applyFill="1" applyBorder="1" applyProtection="1">
      <alignment/>
      <protection/>
    </xf>
    <xf numFmtId="0" fontId="11" fillId="0" borderId="0" xfId="23" applyFont="1" applyFill="1" applyAlignment="1">
      <alignment vertical="top"/>
      <protection/>
    </xf>
    <xf numFmtId="0" fontId="10" fillId="0" borderId="0" xfId="23" applyAlignment="1">
      <alignment vertical="top"/>
      <protection/>
    </xf>
    <xf numFmtId="0" fontId="10" fillId="0" borderId="0" xfId="23" applyAlignment="1">
      <alignment vertical="top" wrapText="1"/>
      <protection/>
    </xf>
    <xf numFmtId="0" fontId="10" fillId="0" borderId="0" xfId="23" applyAlignment="1">
      <alignment horizontal="center" vertical="top"/>
      <protection/>
    </xf>
    <xf numFmtId="0" fontId="10" fillId="0" borderId="0" xfId="23" applyFill="1" applyBorder="1" applyAlignment="1">
      <alignment vertical="top"/>
      <protection/>
    </xf>
    <xf numFmtId="0" fontId="12" fillId="0" borderId="53" xfId="23" applyFont="1" applyFill="1" applyBorder="1" applyAlignment="1">
      <alignment vertical="top"/>
      <protection/>
    </xf>
    <xf numFmtId="0" fontId="10" fillId="0" borderId="54" xfId="23" applyBorder="1" applyAlignment="1">
      <alignment vertical="top"/>
      <protection/>
    </xf>
    <xf numFmtId="0" fontId="12" fillId="0" borderId="55" xfId="23" applyFont="1" applyFill="1" applyBorder="1" applyAlignment="1">
      <alignment vertical="top"/>
      <protection/>
    </xf>
    <xf numFmtId="0" fontId="12" fillId="0" borderId="54" xfId="23" applyFont="1" applyFill="1" applyBorder="1" applyAlignment="1">
      <alignment vertical="top"/>
      <protection/>
    </xf>
    <xf numFmtId="0" fontId="12" fillId="0" borderId="16" xfId="23" applyFont="1" applyFill="1" applyBorder="1" applyAlignment="1">
      <alignment vertical="top"/>
      <protection/>
    </xf>
    <xf numFmtId="0" fontId="12" fillId="0" borderId="16" xfId="23" applyFont="1" applyFill="1" applyBorder="1" applyAlignment="1">
      <alignment vertical="top" wrapText="1"/>
      <protection/>
    </xf>
    <xf numFmtId="0" fontId="12" fillId="0" borderId="16" xfId="23" applyFont="1" applyFill="1" applyBorder="1" applyAlignment="1">
      <alignment horizontal="center" vertical="top" wrapText="1"/>
      <protection/>
    </xf>
    <xf numFmtId="0" fontId="12" fillId="0" borderId="17" xfId="23" applyFont="1" applyFill="1" applyBorder="1" applyAlignment="1">
      <alignment vertical="top" wrapText="1"/>
      <protection/>
    </xf>
    <xf numFmtId="0" fontId="10" fillId="0" borderId="56" xfId="23" applyBorder="1" applyAlignment="1">
      <alignment vertical="top"/>
      <protection/>
    </xf>
    <xf numFmtId="0" fontId="13" fillId="0" borderId="57" xfId="23" applyFont="1" applyBorder="1" applyAlignment="1">
      <alignment vertical="top"/>
      <protection/>
    </xf>
    <xf numFmtId="0" fontId="10" fillId="0" borderId="10" xfId="23" applyBorder="1" applyAlignment="1">
      <alignment vertical="top" wrapText="1"/>
      <protection/>
    </xf>
    <xf numFmtId="0" fontId="10" fillId="0" borderId="57" xfId="23" applyBorder="1" applyAlignment="1">
      <alignment vertical="top" wrapText="1"/>
      <protection/>
    </xf>
    <xf numFmtId="0" fontId="10" fillId="0" borderId="58" xfId="23" applyBorder="1" applyAlignment="1">
      <alignment vertical="top"/>
      <protection/>
    </xf>
    <xf numFmtId="0" fontId="10" fillId="0" borderId="10" xfId="23" applyBorder="1" applyAlignment="1">
      <alignment vertical="top"/>
      <protection/>
    </xf>
    <xf numFmtId="0" fontId="10" fillId="0" borderId="10" xfId="23" applyBorder="1" applyAlignment="1">
      <alignment horizontal="center" vertical="top"/>
      <protection/>
    </xf>
    <xf numFmtId="0" fontId="10" fillId="0" borderId="10" xfId="23" applyFill="1" applyBorder="1" applyAlignment="1">
      <alignment vertical="top"/>
      <protection/>
    </xf>
    <xf numFmtId="0" fontId="10" fillId="0" borderId="11" xfId="23" applyBorder="1" applyAlignment="1">
      <alignment vertical="top"/>
      <protection/>
    </xf>
    <xf numFmtId="0" fontId="10" fillId="0" borderId="59" xfId="23" applyBorder="1" applyAlignment="1">
      <alignment vertical="top"/>
      <protection/>
    </xf>
    <xf numFmtId="0" fontId="10" fillId="0" borderId="60" xfId="23" applyBorder="1" applyAlignment="1">
      <alignment vertical="top"/>
      <protection/>
    </xf>
    <xf numFmtId="0" fontId="10" fillId="0" borderId="61" xfId="23" applyBorder="1" applyAlignment="1">
      <alignment vertical="top" wrapText="1"/>
      <protection/>
    </xf>
    <xf numFmtId="0" fontId="10" fillId="0" borderId="60" xfId="23" applyBorder="1" applyAlignment="1">
      <alignment vertical="top" wrapText="1"/>
      <protection/>
    </xf>
    <xf numFmtId="0" fontId="10" fillId="0" borderId="62" xfId="23" applyBorder="1" applyAlignment="1">
      <alignment vertical="top"/>
      <protection/>
    </xf>
    <xf numFmtId="0" fontId="10" fillId="0" borderId="61" xfId="23" applyBorder="1" applyAlignment="1">
      <alignment vertical="top"/>
      <protection/>
    </xf>
    <xf numFmtId="0" fontId="10" fillId="0" borderId="61" xfId="23" applyBorder="1" applyAlignment="1">
      <alignment horizontal="center" vertical="top"/>
      <protection/>
    </xf>
    <xf numFmtId="0" fontId="10" fillId="0" borderId="61" xfId="23" applyFill="1" applyBorder="1" applyAlignment="1">
      <alignment vertical="top"/>
      <protection/>
    </xf>
    <xf numFmtId="0" fontId="10" fillId="0" borderId="63" xfId="23" applyBorder="1" applyAlignment="1">
      <alignment vertical="top"/>
      <protection/>
    </xf>
    <xf numFmtId="0" fontId="10" fillId="0" borderId="53" xfId="23" applyBorder="1" applyAlignment="1">
      <alignment vertical="top"/>
      <protection/>
    </xf>
    <xf numFmtId="0" fontId="13" fillId="0" borderId="54" xfId="23" applyFont="1" applyBorder="1" applyAlignment="1">
      <alignment vertical="top"/>
      <protection/>
    </xf>
    <xf numFmtId="0" fontId="10" fillId="0" borderId="16" xfId="23" applyBorder="1" applyAlignment="1">
      <alignment vertical="top" wrapText="1"/>
      <protection/>
    </xf>
    <xf numFmtId="0" fontId="10" fillId="0" borderId="54" xfId="23" applyBorder="1" applyAlignment="1">
      <alignment vertical="top" wrapText="1"/>
      <protection/>
    </xf>
    <xf numFmtId="0" fontId="10" fillId="0" borderId="55" xfId="23" applyBorder="1" applyAlignment="1">
      <alignment vertical="top"/>
      <protection/>
    </xf>
    <xf numFmtId="0" fontId="10" fillId="0" borderId="16" xfId="23" applyBorder="1" applyAlignment="1">
      <alignment vertical="top"/>
      <protection/>
    </xf>
    <xf numFmtId="0" fontId="10" fillId="0" borderId="49" xfId="23" applyBorder="1" applyAlignment="1">
      <alignment vertical="top"/>
      <protection/>
    </xf>
    <xf numFmtId="0" fontId="10" fillId="6" borderId="49" xfId="23" applyFill="1" applyBorder="1" applyAlignment="1">
      <alignment horizontal="center" vertical="top"/>
      <protection/>
    </xf>
    <xf numFmtId="0" fontId="14" fillId="7" borderId="49" xfId="23" applyFont="1" applyFill="1" applyBorder="1" applyAlignment="1">
      <alignment horizontal="center" vertical="top"/>
      <protection/>
    </xf>
    <xf numFmtId="0" fontId="14" fillId="8" borderId="49" xfId="23" applyFont="1" applyFill="1" applyBorder="1" applyAlignment="1">
      <alignment horizontal="center" vertical="top"/>
      <protection/>
    </xf>
    <xf numFmtId="0" fontId="13" fillId="9" borderId="42" xfId="23" applyFont="1" applyFill="1" applyBorder="1" applyAlignment="1">
      <alignment horizontal="center" vertical="center" wrapText="1"/>
      <protection/>
    </xf>
    <xf numFmtId="0" fontId="10" fillId="10" borderId="49" xfId="23" applyFill="1" applyBorder="1" applyAlignment="1">
      <alignment horizontal="center" vertical="center" wrapText="1"/>
      <protection/>
    </xf>
    <xf numFmtId="0" fontId="10" fillId="10" borderId="55" xfId="23" applyFill="1" applyBorder="1" applyAlignment="1">
      <alignment horizontal="center" vertical="center" wrapText="1"/>
      <protection/>
    </xf>
    <xf numFmtId="0" fontId="10" fillId="10" borderId="64" xfId="23" applyFill="1" applyBorder="1" applyAlignment="1">
      <alignment horizontal="center" vertical="center" wrapText="1"/>
      <protection/>
    </xf>
    <xf numFmtId="0" fontId="10" fillId="10" borderId="3" xfId="23" applyFill="1" applyBorder="1" applyAlignment="1">
      <alignment horizontal="center" vertical="center" wrapText="1"/>
      <protection/>
    </xf>
    <xf numFmtId="0" fontId="13" fillId="9" borderId="3" xfId="23" applyFont="1" applyFill="1" applyBorder="1" applyAlignment="1">
      <alignment horizontal="center" vertical="center" wrapText="1"/>
      <protection/>
    </xf>
    <xf numFmtId="0" fontId="13" fillId="9" borderId="52" xfId="23" applyFont="1" applyFill="1" applyBorder="1" applyAlignment="1">
      <alignment vertical="top"/>
      <protection/>
    </xf>
    <xf numFmtId="0" fontId="15" fillId="5" borderId="57" xfId="23" applyFont="1" applyFill="1" applyBorder="1" applyAlignment="1">
      <alignment vertical="top"/>
      <protection/>
    </xf>
    <xf numFmtId="0" fontId="10" fillId="9" borderId="10" xfId="23" applyFill="1" applyBorder="1" applyAlignment="1">
      <alignment vertical="top" wrapText="1"/>
      <protection/>
    </xf>
    <xf numFmtId="0" fontId="10" fillId="9" borderId="57" xfId="23" applyFill="1" applyBorder="1" applyAlignment="1">
      <alignment vertical="top" wrapText="1"/>
      <protection/>
    </xf>
    <xf numFmtId="0" fontId="10" fillId="0" borderId="65" xfId="23" applyBorder="1" applyAlignment="1">
      <alignment vertical="center" wrapText="1"/>
      <protection/>
    </xf>
    <xf numFmtId="0" fontId="10" fillId="0" borderId="66" xfId="23" applyBorder="1">
      <alignment/>
      <protection/>
    </xf>
    <xf numFmtId="0" fontId="10" fillId="0" borderId="5" xfId="23" applyBorder="1">
      <alignment/>
      <protection/>
    </xf>
    <xf numFmtId="0" fontId="10" fillId="6" borderId="1" xfId="23" applyFill="1" applyBorder="1" applyAlignment="1">
      <alignment vertical="top"/>
      <protection/>
    </xf>
    <xf numFmtId="0" fontId="14" fillId="7" borderId="1" xfId="23" applyFont="1" applyFill="1" applyBorder="1" applyAlignment="1">
      <alignment vertical="top"/>
      <protection/>
    </xf>
    <xf numFmtId="0" fontId="14" fillId="8" borderId="1" xfId="23" applyFont="1" applyFill="1" applyBorder="1" applyAlignment="1">
      <alignment vertical="top"/>
      <protection/>
    </xf>
    <xf numFmtId="0" fontId="10" fillId="0" borderId="1" xfId="23" applyBorder="1" applyAlignment="1">
      <alignment horizontal="center" vertical="top"/>
      <protection/>
    </xf>
    <xf numFmtId="0" fontId="10" fillId="0" borderId="65" xfId="23" applyBorder="1" applyAlignment="1">
      <alignment horizontal="center" vertical="top"/>
      <protection/>
    </xf>
    <xf numFmtId="0" fontId="10" fillId="0" borderId="67" xfId="23" applyBorder="1" applyAlignment="1">
      <alignment horizontal="center" vertical="top"/>
      <protection/>
    </xf>
    <xf numFmtId="0" fontId="10" fillId="0" borderId="68" xfId="23" applyBorder="1" applyAlignment="1">
      <alignment horizontal="center" vertical="top"/>
      <protection/>
    </xf>
    <xf numFmtId="0" fontId="10" fillId="0" borderId="69" xfId="23" applyBorder="1" applyAlignment="1">
      <alignment vertical="top"/>
      <protection/>
    </xf>
    <xf numFmtId="0" fontId="10" fillId="0" borderId="70" xfId="23" applyBorder="1" applyAlignment="1">
      <alignment vertical="top"/>
      <protection/>
    </xf>
    <xf numFmtId="0" fontId="10" fillId="0" borderId="0" xfId="23" applyBorder="1" applyAlignment="1">
      <alignment vertical="top"/>
      <protection/>
    </xf>
    <xf numFmtId="0" fontId="10" fillId="0" borderId="0" xfId="23">
      <alignment/>
      <protection/>
    </xf>
    <xf numFmtId="0" fontId="10" fillId="0" borderId="71" xfId="23" applyBorder="1">
      <alignment/>
      <protection/>
    </xf>
    <xf numFmtId="0" fontId="10" fillId="0" borderId="72" xfId="23" applyBorder="1" applyAlignment="1">
      <alignment horizontal="center" vertical="top"/>
      <protection/>
    </xf>
    <xf numFmtId="0" fontId="10" fillId="0" borderId="4" xfId="23" applyBorder="1" applyAlignment="1">
      <alignment horizontal="center" vertical="top"/>
      <protection/>
    </xf>
    <xf numFmtId="0" fontId="10" fillId="9" borderId="58" xfId="23" applyFill="1" applyBorder="1" applyAlignment="1">
      <alignment vertical="top" wrapText="1"/>
      <protection/>
    </xf>
    <xf numFmtId="0" fontId="10" fillId="0" borderId="73" xfId="23" applyBorder="1" applyAlignment="1">
      <alignment vertical="center" wrapText="1"/>
      <protection/>
    </xf>
    <xf numFmtId="0" fontId="10" fillId="0" borderId="66" xfId="23" applyBorder="1" applyAlignment="1">
      <alignment vertical="center" wrapText="1"/>
      <protection/>
    </xf>
    <xf numFmtId="0" fontId="10" fillId="0" borderId="5" xfId="23" applyBorder="1" applyAlignment="1">
      <alignment vertical="center" wrapText="1"/>
      <protection/>
    </xf>
    <xf numFmtId="0" fontId="10" fillId="6" borderId="5" xfId="23" applyFill="1" applyBorder="1" applyAlignment="1">
      <alignment vertical="top"/>
      <protection/>
    </xf>
    <xf numFmtId="0" fontId="14" fillId="7" borderId="5" xfId="23" applyFont="1" applyFill="1" applyBorder="1" applyAlignment="1">
      <alignment vertical="top"/>
      <protection/>
    </xf>
    <xf numFmtId="0" fontId="14" fillId="8" borderId="5" xfId="23" applyFont="1" applyFill="1" applyBorder="1" applyAlignment="1">
      <alignment vertical="top"/>
      <protection/>
    </xf>
    <xf numFmtId="0" fontId="10" fillId="0" borderId="5" xfId="23" applyBorder="1" applyAlignment="1">
      <alignment horizontal="center" vertical="top"/>
      <protection/>
    </xf>
    <xf numFmtId="0" fontId="10" fillId="0" borderId="73" xfId="23" applyBorder="1" applyAlignment="1">
      <alignment horizontal="center" vertical="top"/>
      <protection/>
    </xf>
    <xf numFmtId="0" fontId="10" fillId="0" borderId="74" xfId="23" applyBorder="1" applyAlignment="1">
      <alignment horizontal="center" vertical="top"/>
      <protection/>
    </xf>
    <xf numFmtId="0" fontId="10" fillId="0" borderId="75" xfId="23" applyBorder="1" applyAlignment="1">
      <alignment horizontal="center" vertical="top"/>
      <protection/>
    </xf>
    <xf numFmtId="0" fontId="10" fillId="9" borderId="76" xfId="23" applyFill="1" applyBorder="1" applyAlignment="1">
      <alignment vertical="top" wrapText="1"/>
      <protection/>
    </xf>
    <xf numFmtId="0" fontId="10" fillId="0" borderId="77" xfId="23" applyBorder="1" applyAlignment="1">
      <alignment vertical="center" wrapText="1"/>
      <protection/>
    </xf>
    <xf numFmtId="0" fontId="10" fillId="0" borderId="78" xfId="23" applyBorder="1" applyAlignment="1">
      <alignment vertical="center" wrapText="1"/>
      <protection/>
    </xf>
    <xf numFmtId="0" fontId="10" fillId="0" borderId="2" xfId="23" applyBorder="1" applyAlignment="1">
      <alignment vertical="center" wrapText="1"/>
      <protection/>
    </xf>
    <xf numFmtId="0" fontId="10" fillId="6" borderId="2" xfId="23" applyFill="1" applyBorder="1" applyAlignment="1">
      <alignment vertical="top"/>
      <protection/>
    </xf>
    <xf numFmtId="0" fontId="14" fillId="7" borderId="2" xfId="23" applyFont="1" applyFill="1" applyBorder="1" applyAlignment="1">
      <alignment vertical="top"/>
      <protection/>
    </xf>
    <xf numFmtId="0" fontId="14" fillId="8" borderId="2" xfId="23" applyFont="1" applyFill="1" applyBorder="1" applyAlignment="1">
      <alignment vertical="top"/>
      <protection/>
    </xf>
    <xf numFmtId="0" fontId="10" fillId="0" borderId="2" xfId="23" applyBorder="1" applyAlignment="1">
      <alignment horizontal="center" vertical="top"/>
      <protection/>
    </xf>
    <xf numFmtId="0" fontId="10" fillId="0" borderId="77" xfId="23" applyBorder="1" applyAlignment="1">
      <alignment horizontal="center" vertical="top"/>
      <protection/>
    </xf>
    <xf numFmtId="0" fontId="10" fillId="0" borderId="76" xfId="23" applyBorder="1" applyAlignment="1">
      <alignment vertical="top" wrapText="1"/>
      <protection/>
    </xf>
    <xf numFmtId="0" fontId="10" fillId="0" borderId="79" xfId="23" applyBorder="1" applyAlignment="1">
      <alignment vertical="center" wrapText="1"/>
      <protection/>
    </xf>
    <xf numFmtId="0" fontId="10" fillId="0" borderId="80" xfId="23" applyBorder="1" applyAlignment="1">
      <alignment vertical="center" wrapText="1"/>
      <protection/>
    </xf>
    <xf numFmtId="0" fontId="10" fillId="0" borderId="7" xfId="23" applyBorder="1" applyAlignment="1">
      <alignment vertical="center" wrapText="1"/>
      <protection/>
    </xf>
    <xf numFmtId="0" fontId="10" fillId="6" borderId="6" xfId="23" applyFill="1" applyBorder="1" applyAlignment="1">
      <alignment vertical="top"/>
      <protection/>
    </xf>
    <xf numFmtId="0" fontId="14" fillId="7" borderId="6" xfId="23" applyFont="1" applyFill="1" applyBorder="1" applyAlignment="1">
      <alignment vertical="top"/>
      <protection/>
    </xf>
    <xf numFmtId="0" fontId="14" fillId="8" borderId="6" xfId="23" applyFont="1" applyFill="1" applyBorder="1" applyAlignment="1">
      <alignment vertical="top"/>
      <protection/>
    </xf>
    <xf numFmtId="0" fontId="10" fillId="0" borderId="6" xfId="23" applyBorder="1" applyAlignment="1">
      <alignment horizontal="center" vertical="top"/>
      <protection/>
    </xf>
    <xf numFmtId="0" fontId="10" fillId="0" borderId="79" xfId="23" applyBorder="1" applyAlignment="1">
      <alignment horizontal="center" vertical="top"/>
      <protection/>
    </xf>
    <xf numFmtId="0" fontId="10" fillId="0" borderId="81" xfId="23" applyBorder="1" applyAlignment="1">
      <alignment horizontal="center" vertical="top"/>
      <protection/>
    </xf>
    <xf numFmtId="0" fontId="10" fillId="0" borderId="82" xfId="23" applyBorder="1" applyAlignment="1">
      <alignment horizontal="center" vertical="top"/>
      <protection/>
    </xf>
    <xf numFmtId="0" fontId="15" fillId="9" borderId="58" xfId="23" applyFont="1" applyFill="1" applyBorder="1" applyAlignment="1">
      <alignment vertical="top" wrapText="1"/>
      <protection/>
    </xf>
    <xf numFmtId="0" fontId="10" fillId="0" borderId="0" xfId="23" applyAlignment="1">
      <alignment vertical="center"/>
      <protection/>
    </xf>
    <xf numFmtId="0" fontId="10" fillId="0" borderId="71" xfId="23" applyBorder="1" applyAlignment="1">
      <alignment vertical="center"/>
      <protection/>
    </xf>
    <xf numFmtId="0" fontId="10" fillId="9" borderId="62" xfId="23" applyFill="1" applyBorder="1" applyAlignment="1">
      <alignment vertical="top" wrapText="1"/>
      <protection/>
    </xf>
    <xf numFmtId="0" fontId="10" fillId="0" borderId="83" xfId="23" applyBorder="1" applyAlignment="1">
      <alignment vertical="center" wrapText="1"/>
      <protection/>
    </xf>
    <xf numFmtId="0" fontId="10" fillId="6" borderId="7" xfId="23" applyFill="1" applyBorder="1" applyAlignment="1">
      <alignment vertical="top"/>
      <protection/>
    </xf>
    <xf numFmtId="0" fontId="14" fillId="7" borderId="7" xfId="23" applyFont="1" applyFill="1" applyBorder="1" applyAlignment="1">
      <alignment vertical="top"/>
      <protection/>
    </xf>
    <xf numFmtId="0" fontId="14" fillId="8" borderId="7" xfId="23" applyFont="1" applyFill="1" applyBorder="1" applyAlignment="1">
      <alignment vertical="top"/>
      <protection/>
    </xf>
    <xf numFmtId="0" fontId="10" fillId="0" borderId="7" xfId="23" applyBorder="1" applyAlignment="1">
      <alignment horizontal="center" vertical="top"/>
      <protection/>
    </xf>
    <xf numFmtId="0" fontId="10" fillId="0" borderId="83" xfId="23" applyBorder="1" applyAlignment="1">
      <alignment horizontal="center" vertical="top"/>
      <protection/>
    </xf>
    <xf numFmtId="0" fontId="10" fillId="0" borderId="84" xfId="23" applyBorder="1" applyAlignment="1">
      <alignment horizontal="center" vertical="top"/>
      <protection/>
    </xf>
    <xf numFmtId="0" fontId="10" fillId="0" borderId="85" xfId="23" applyBorder="1" applyAlignment="1">
      <alignment horizontal="center" vertical="top"/>
      <protection/>
    </xf>
    <xf numFmtId="0" fontId="10" fillId="5" borderId="57" xfId="23" applyFill="1" applyBorder="1" applyAlignment="1">
      <alignment vertical="top"/>
      <protection/>
    </xf>
    <xf numFmtId="0" fontId="10" fillId="0" borderId="77" xfId="23" applyBorder="1" applyAlignment="1">
      <alignment vertical="top" wrapText="1"/>
      <protection/>
    </xf>
    <xf numFmtId="0" fontId="10" fillId="0" borderId="78" xfId="23" applyBorder="1" applyAlignment="1">
      <alignment vertical="top" wrapText="1"/>
      <protection/>
    </xf>
    <xf numFmtId="0" fontId="10" fillId="0" borderId="2" xfId="23" applyBorder="1" applyAlignment="1">
      <alignment vertical="top" wrapText="1"/>
      <protection/>
    </xf>
    <xf numFmtId="0" fontId="10" fillId="0" borderId="76" xfId="23" applyBorder="1" applyAlignment="1">
      <alignment vertical="center" wrapText="1"/>
      <protection/>
    </xf>
    <xf numFmtId="0" fontId="10" fillId="0" borderId="0" xfId="23" applyBorder="1" applyAlignment="1">
      <alignment vertical="center" wrapText="1"/>
      <protection/>
    </xf>
    <xf numFmtId="0" fontId="10" fillId="0" borderId="71" xfId="23" applyBorder="1" applyAlignment="1">
      <alignment vertical="center" wrapText="1"/>
      <protection/>
    </xf>
    <xf numFmtId="0" fontId="14" fillId="7" borderId="8" xfId="23" applyFont="1" applyFill="1" applyBorder="1" applyAlignment="1">
      <alignment vertical="top"/>
      <protection/>
    </xf>
    <xf numFmtId="0" fontId="14" fillId="8" borderId="8" xfId="23" applyFont="1" applyFill="1" applyBorder="1" applyAlignment="1">
      <alignment vertical="top"/>
      <protection/>
    </xf>
    <xf numFmtId="0" fontId="10" fillId="0" borderId="8" xfId="23" applyBorder="1" applyAlignment="1">
      <alignment horizontal="center" vertical="top"/>
      <protection/>
    </xf>
    <xf numFmtId="0" fontId="10" fillId="0" borderId="70" xfId="23" applyFill="1" applyBorder="1" applyAlignment="1">
      <alignment vertical="top"/>
      <protection/>
    </xf>
    <xf numFmtId="0" fontId="14" fillId="7" borderId="9" xfId="23" applyFont="1" applyFill="1" applyBorder="1" applyAlignment="1">
      <alignment vertical="top"/>
      <protection/>
    </xf>
    <xf numFmtId="0" fontId="14" fillId="8" borderId="9" xfId="23" applyFont="1" applyFill="1" applyBorder="1" applyAlignment="1">
      <alignment vertical="top"/>
      <protection/>
    </xf>
    <xf numFmtId="0" fontId="10" fillId="0" borderId="9" xfId="23" applyBorder="1" applyAlignment="1">
      <alignment horizontal="center" vertical="top"/>
      <protection/>
    </xf>
    <xf numFmtId="0" fontId="10" fillId="11" borderId="56" xfId="23" applyFont="1" applyFill="1" applyBorder="1" applyAlignment="1">
      <alignment vertical="top"/>
      <protection/>
    </xf>
    <xf numFmtId="0" fontId="10" fillId="11" borderId="57" xfId="23" applyFont="1" applyFill="1" applyBorder="1" applyAlignment="1">
      <alignment vertical="top"/>
      <protection/>
    </xf>
    <xf numFmtId="0" fontId="10" fillId="9" borderId="0" xfId="23" applyFill="1" applyAlignment="1">
      <alignment vertical="top" wrapText="1"/>
      <protection/>
    </xf>
    <xf numFmtId="0" fontId="10" fillId="0" borderId="1" xfId="23" applyBorder="1" applyAlignment="1">
      <alignment horizontal="center" vertical="center" wrapText="1"/>
      <protection/>
    </xf>
    <xf numFmtId="0" fontId="14" fillId="0" borderId="8" xfId="23" applyFont="1" applyBorder="1" applyAlignment="1">
      <alignment horizontal="center" vertical="center" wrapText="1"/>
      <protection/>
    </xf>
    <xf numFmtId="0" fontId="14" fillId="8" borderId="8" xfId="23" applyFont="1" applyFill="1" applyBorder="1" applyAlignment="1">
      <alignment horizontal="center" vertical="center" wrapText="1"/>
      <protection/>
    </xf>
    <xf numFmtId="0" fontId="10" fillId="0" borderId="8" xfId="23" applyBorder="1" applyAlignment="1">
      <alignment horizontal="center" vertical="center" wrapText="1"/>
      <protection/>
    </xf>
    <xf numFmtId="0" fontId="10" fillId="0" borderId="69" xfId="23" applyFont="1" applyBorder="1" applyAlignment="1">
      <alignment vertical="top"/>
      <protection/>
    </xf>
    <xf numFmtId="0" fontId="10" fillId="0" borderId="70" xfId="23" applyFont="1" applyBorder="1" applyAlignment="1">
      <alignment vertical="top"/>
      <protection/>
    </xf>
    <xf numFmtId="0" fontId="10" fillId="0" borderId="0" xfId="23" applyBorder="1" applyAlignment="1">
      <alignment vertical="top" wrapText="1"/>
      <protection/>
    </xf>
    <xf numFmtId="0" fontId="10" fillId="0" borderId="2" xfId="23" applyBorder="1" applyAlignment="1">
      <alignment horizontal="center" vertical="center" wrapText="1"/>
      <protection/>
    </xf>
    <xf numFmtId="0" fontId="14" fillId="0" borderId="86" xfId="23" applyFont="1" applyBorder="1" applyAlignment="1">
      <alignment horizontal="center" vertical="center" wrapText="1"/>
      <protection/>
    </xf>
    <xf numFmtId="0" fontId="14" fillId="8" borderId="86" xfId="23" applyFont="1" applyFill="1" applyBorder="1" applyAlignment="1">
      <alignment horizontal="center" vertical="center" wrapText="1"/>
      <protection/>
    </xf>
    <xf numFmtId="0" fontId="10" fillId="0" borderId="86" xfId="23" applyBorder="1" applyAlignment="1">
      <alignment horizontal="center" vertical="center" wrapText="1"/>
      <protection/>
    </xf>
    <xf numFmtId="0" fontId="10" fillId="0" borderId="56" xfId="23" applyFont="1" applyBorder="1" applyAlignment="1">
      <alignment vertical="top"/>
      <protection/>
    </xf>
    <xf numFmtId="0" fontId="10" fillId="0" borderId="57" xfId="23" applyFont="1" applyBorder="1" applyAlignment="1">
      <alignment vertical="top"/>
      <protection/>
    </xf>
    <xf numFmtId="0" fontId="10" fillId="9" borderId="10" xfId="23" applyFill="1" applyBorder="1">
      <alignment/>
      <protection/>
    </xf>
    <xf numFmtId="0" fontId="10" fillId="9" borderId="10" xfId="23" applyFill="1" applyBorder="1" applyAlignment="1">
      <alignment vertical="top"/>
      <protection/>
    </xf>
    <xf numFmtId="0" fontId="10" fillId="0" borderId="5" xfId="23" applyBorder="1" applyAlignment="1">
      <alignment horizontal="center" vertical="center" wrapText="1"/>
      <protection/>
    </xf>
    <xf numFmtId="0" fontId="10" fillId="0" borderId="59" xfId="23" applyFont="1" applyBorder="1" applyAlignment="1">
      <alignment vertical="top"/>
      <protection/>
    </xf>
    <xf numFmtId="0" fontId="10" fillId="0" borderId="60" xfId="23" applyFont="1" applyBorder="1" applyAlignment="1">
      <alignment vertical="top"/>
      <protection/>
    </xf>
    <xf numFmtId="0" fontId="10" fillId="0" borderId="61" xfId="23" applyFill="1" applyBorder="1">
      <alignment/>
      <protection/>
    </xf>
    <xf numFmtId="0" fontId="10" fillId="0" borderId="7" xfId="23" applyBorder="1" applyAlignment="1">
      <alignment horizontal="center" vertical="center" wrapText="1"/>
      <protection/>
    </xf>
    <xf numFmtId="0" fontId="14" fillId="0" borderId="87" xfId="23" applyFont="1" applyBorder="1" applyAlignment="1">
      <alignment horizontal="center" vertical="center" wrapText="1"/>
      <protection/>
    </xf>
    <xf numFmtId="0" fontId="14" fillId="8" borderId="87" xfId="23" applyFont="1" applyFill="1" applyBorder="1" applyAlignment="1">
      <alignment horizontal="center" vertical="center" wrapText="1"/>
      <protection/>
    </xf>
    <xf numFmtId="0" fontId="10" fillId="0" borderId="87" xfId="23" applyBorder="1" applyAlignment="1">
      <alignment horizontal="center" vertical="center" wrapText="1"/>
      <protection/>
    </xf>
    <xf numFmtId="0" fontId="16" fillId="9" borderId="10" xfId="23" applyFont="1" applyFill="1" applyBorder="1" applyAlignment="1">
      <alignment vertical="top" wrapText="1"/>
      <protection/>
    </xf>
    <xf numFmtId="0" fontId="10" fillId="0" borderId="66" xfId="23" applyFill="1" applyBorder="1" applyAlignment="1">
      <alignment vertical="center" wrapText="1"/>
      <protection/>
    </xf>
    <xf numFmtId="0" fontId="16" fillId="9" borderId="0" xfId="23" applyFont="1" applyFill="1" applyBorder="1" applyAlignment="1">
      <alignment vertical="top" wrapText="1"/>
      <protection/>
    </xf>
    <xf numFmtId="0" fontId="10" fillId="0" borderId="88" xfId="23" applyBorder="1" applyAlignment="1">
      <alignment vertical="center" wrapText="1"/>
      <protection/>
    </xf>
    <xf numFmtId="0" fontId="10" fillId="0" borderId="1" xfId="23" applyBorder="1" applyAlignment="1">
      <alignment vertical="center" wrapText="1"/>
      <protection/>
    </xf>
    <xf numFmtId="0" fontId="14" fillId="0" borderId="9" xfId="23" applyFont="1" applyBorder="1" applyAlignment="1">
      <alignment horizontal="center" vertical="center" wrapText="1"/>
      <protection/>
    </xf>
    <xf numFmtId="0" fontId="14" fillId="8" borderId="9" xfId="23" applyFont="1" applyFill="1" applyBorder="1" applyAlignment="1">
      <alignment horizontal="center" vertical="center" wrapText="1"/>
      <protection/>
    </xf>
    <xf numFmtId="0" fontId="10" fillId="0" borderId="9" xfId="23" applyBorder="1" applyAlignment="1">
      <alignment horizontal="center" vertical="center" wrapText="1"/>
      <protection/>
    </xf>
    <xf numFmtId="0" fontId="10" fillId="0" borderId="62" xfId="23" applyBorder="1" applyAlignment="1">
      <alignment vertical="top" wrapText="1"/>
      <protection/>
    </xf>
    <xf numFmtId="0" fontId="14" fillId="7" borderId="87" xfId="23" applyFont="1" applyFill="1" applyBorder="1" applyAlignment="1">
      <alignment horizontal="center" vertical="center" wrapText="1"/>
      <protection/>
    </xf>
    <xf numFmtId="0" fontId="10" fillId="0" borderId="61" xfId="23" applyBorder="1">
      <alignment/>
      <protection/>
    </xf>
    <xf numFmtId="0" fontId="10" fillId="0" borderId="89" xfId="23" applyBorder="1">
      <alignment/>
      <protection/>
    </xf>
    <xf numFmtId="0" fontId="10" fillId="0" borderId="87" xfId="23" applyBorder="1" applyAlignment="1">
      <alignment horizontal="center" vertical="top"/>
      <protection/>
    </xf>
    <xf numFmtId="0" fontId="14" fillId="7" borderId="8" xfId="23" applyFont="1" applyFill="1" applyBorder="1" applyAlignment="1">
      <alignment horizontal="center" vertical="center" wrapText="1"/>
      <protection/>
    </xf>
    <xf numFmtId="0" fontId="10" fillId="0" borderId="88" xfId="23" applyBorder="1" applyAlignment="1">
      <alignment wrapText="1"/>
      <protection/>
    </xf>
    <xf numFmtId="0" fontId="10" fillId="0" borderId="1" xfId="23" applyBorder="1" applyAlignment="1">
      <alignment wrapText="1"/>
      <protection/>
    </xf>
    <xf numFmtId="0" fontId="10" fillId="0" borderId="6" xfId="23" applyBorder="1" applyAlignment="1">
      <alignment horizontal="center" vertical="center" wrapText="1"/>
      <protection/>
    </xf>
    <xf numFmtId="0" fontId="14" fillId="7" borderId="90" xfId="23" applyFont="1" applyFill="1" applyBorder="1" applyAlignment="1">
      <alignment horizontal="center" vertical="center" wrapText="1"/>
      <protection/>
    </xf>
    <xf numFmtId="0" fontId="14" fillId="8" borderId="90" xfId="23" applyFont="1" applyFill="1" applyBorder="1" applyAlignment="1">
      <alignment horizontal="center" vertical="center" wrapText="1"/>
      <protection/>
    </xf>
    <xf numFmtId="0" fontId="10" fillId="0" borderId="90" xfId="23" applyBorder="1" applyAlignment="1">
      <alignment horizontal="center" vertical="center" wrapText="1"/>
      <protection/>
    </xf>
    <xf numFmtId="0" fontId="10" fillId="0" borderId="56" xfId="23" applyFont="1" applyFill="1" applyBorder="1" applyAlignment="1">
      <alignment vertical="top"/>
      <protection/>
    </xf>
    <xf numFmtId="0" fontId="10" fillId="0" borderId="57" xfId="23" applyFont="1" applyFill="1" applyBorder="1" applyAlignment="1">
      <alignment vertical="top"/>
      <protection/>
    </xf>
    <xf numFmtId="0" fontId="10" fillId="6" borderId="5" xfId="23" applyFill="1" applyBorder="1" applyAlignment="1">
      <alignment horizontal="center" vertical="center" wrapText="1"/>
      <protection/>
    </xf>
    <xf numFmtId="0" fontId="10" fillId="0" borderId="76" xfId="23" applyBorder="1" applyAlignment="1">
      <alignment vertical="top"/>
      <protection/>
    </xf>
    <xf numFmtId="0" fontId="10" fillId="6" borderId="2" xfId="23" applyFill="1" applyBorder="1" applyAlignment="1">
      <alignment horizontal="center" vertical="center" wrapText="1"/>
      <protection/>
    </xf>
    <xf numFmtId="0" fontId="14" fillId="7" borderId="9" xfId="23" applyFont="1" applyFill="1" applyBorder="1" applyAlignment="1">
      <alignment horizontal="center" vertical="center" wrapText="1"/>
      <protection/>
    </xf>
    <xf numFmtId="0" fontId="10" fillId="6" borderId="7" xfId="23" applyFill="1" applyBorder="1" applyAlignment="1">
      <alignment horizontal="center" vertical="center" wrapText="1"/>
      <protection/>
    </xf>
    <xf numFmtId="0" fontId="16" fillId="9" borderId="0" xfId="23" applyFont="1" applyFill="1" applyAlignment="1">
      <alignment vertical="top"/>
      <protection/>
    </xf>
    <xf numFmtId="0" fontId="10" fillId="11" borderId="57" xfId="23" applyFont="1" applyFill="1" applyBorder="1" applyAlignment="1">
      <alignment vertical="top" wrapText="1"/>
      <protection/>
    </xf>
    <xf numFmtId="0" fontId="15" fillId="0" borderId="73" xfId="23" applyFont="1" applyBorder="1" applyAlignment="1">
      <alignment vertical="center" wrapText="1"/>
      <protection/>
    </xf>
    <xf numFmtId="0" fontId="15" fillId="0" borderId="66" xfId="23" applyFont="1" applyBorder="1" applyAlignment="1">
      <alignment vertical="center" wrapText="1"/>
      <protection/>
    </xf>
    <xf numFmtId="0" fontId="15" fillId="0" borderId="5" xfId="23" applyFont="1" applyBorder="1" applyAlignment="1">
      <alignment vertical="center" wrapText="1"/>
      <protection/>
    </xf>
    <xf numFmtId="0" fontId="15" fillId="11" borderId="69" xfId="23" applyFont="1" applyFill="1" applyBorder="1" applyAlignment="1">
      <alignment vertical="top"/>
      <protection/>
    </xf>
    <xf numFmtId="0" fontId="10" fillId="11" borderId="70" xfId="23" applyFont="1" applyFill="1" applyBorder="1" applyAlignment="1">
      <alignment vertical="top" wrapText="1"/>
      <protection/>
    </xf>
    <xf numFmtId="0" fontId="15" fillId="0" borderId="65" xfId="23" applyFont="1" applyBorder="1" applyAlignment="1">
      <alignment vertical="center" wrapText="1"/>
      <protection/>
    </xf>
    <xf numFmtId="0" fontId="10" fillId="0" borderId="2" xfId="23" applyBorder="1" applyAlignment="1">
      <alignment vertical="center"/>
      <protection/>
    </xf>
    <xf numFmtId="0" fontId="15" fillId="0" borderId="77" xfId="23" applyFont="1" applyBorder="1" applyAlignment="1">
      <alignment vertical="center" wrapText="1"/>
      <protection/>
    </xf>
    <xf numFmtId="0" fontId="15" fillId="0" borderId="78" xfId="23" applyFont="1" applyBorder="1" applyAlignment="1">
      <alignment vertical="center" wrapText="1"/>
      <protection/>
    </xf>
    <xf numFmtId="0" fontId="10" fillId="0" borderId="0" xfId="23" applyFont="1" applyAlignment="1">
      <alignment vertical="center"/>
      <protection/>
    </xf>
    <xf numFmtId="0" fontId="10" fillId="0" borderId="71" xfId="23" applyFont="1" applyBorder="1" applyAlignment="1">
      <alignment vertical="center"/>
      <protection/>
    </xf>
    <xf numFmtId="0" fontId="15" fillId="0" borderId="79" xfId="23" applyFont="1" applyBorder="1" applyAlignment="1">
      <alignment vertical="center" wrapText="1"/>
      <protection/>
    </xf>
    <xf numFmtId="0" fontId="15" fillId="0" borderId="91" xfId="23" applyFont="1" applyBorder="1" applyAlignment="1">
      <alignment vertical="center" wrapText="1"/>
      <protection/>
    </xf>
    <xf numFmtId="0" fontId="15" fillId="0" borderId="6" xfId="23" applyFont="1" applyBorder="1" applyAlignment="1">
      <alignment vertical="center" wrapText="1"/>
      <protection/>
    </xf>
    <xf numFmtId="0" fontId="10" fillId="0" borderId="6" xfId="23" applyFill="1" applyBorder="1" applyAlignment="1">
      <alignment horizontal="center" vertical="center" wrapText="1"/>
      <protection/>
    </xf>
    <xf numFmtId="0" fontId="15" fillId="9" borderId="76" xfId="23" applyFont="1" applyFill="1" applyBorder="1" applyAlignment="1">
      <alignment vertical="top" wrapText="1"/>
      <protection/>
    </xf>
    <xf numFmtId="0" fontId="15" fillId="0" borderId="2" xfId="23" applyFont="1" applyBorder="1" applyAlignment="1">
      <alignment vertical="center" wrapText="1"/>
      <protection/>
    </xf>
    <xf numFmtId="0" fontId="15" fillId="0" borderId="83" xfId="23" applyFont="1" applyBorder="1" applyAlignment="1">
      <alignment vertical="center" wrapText="1"/>
      <protection/>
    </xf>
    <xf numFmtId="0" fontId="15" fillId="0" borderId="80" xfId="23" applyFont="1" applyBorder="1" applyAlignment="1">
      <alignment vertical="center" wrapText="1"/>
      <protection/>
    </xf>
    <xf numFmtId="0" fontId="15" fillId="0" borderId="7" xfId="23" applyFont="1" applyBorder="1" applyAlignment="1">
      <alignment vertical="center" wrapText="1"/>
      <protection/>
    </xf>
    <xf numFmtId="0" fontId="10" fillId="11" borderId="69" xfId="23" applyFont="1" applyFill="1" applyBorder="1" applyAlignment="1">
      <alignment vertical="top"/>
      <protection/>
    </xf>
    <xf numFmtId="0" fontId="10" fillId="11" borderId="70" xfId="23" applyFont="1" applyFill="1" applyBorder="1" applyAlignment="1">
      <alignment vertical="top"/>
      <protection/>
    </xf>
    <xf numFmtId="0" fontId="15" fillId="9" borderId="0" xfId="23" applyFont="1" applyFill="1" applyAlignment="1">
      <alignment vertical="top" wrapText="1"/>
      <protection/>
    </xf>
    <xf numFmtId="0" fontId="14" fillId="0" borderId="90" xfId="23" applyFont="1" applyBorder="1" applyAlignment="1">
      <alignment horizontal="center" vertical="center" wrapText="1"/>
      <protection/>
    </xf>
    <xf numFmtId="0" fontId="10" fillId="0" borderId="0" xfId="23" applyFill="1" applyBorder="1" applyAlignment="1">
      <alignment vertical="top" wrapText="1"/>
      <protection/>
    </xf>
    <xf numFmtId="0" fontId="13" fillId="0" borderId="0" xfId="23" applyFont="1" applyFill="1" applyBorder="1" applyAlignment="1">
      <alignment vertical="top" wrapText="1"/>
      <protection/>
    </xf>
    <xf numFmtId="0" fontId="10" fillId="0" borderId="0" xfId="23" applyAlignment="1">
      <alignment horizontal="right" vertical="top"/>
      <protection/>
    </xf>
    <xf numFmtId="0" fontId="10" fillId="0" borderId="92" xfId="23" applyFill="1" applyBorder="1" applyAlignment="1">
      <alignment vertical="top"/>
      <protection/>
    </xf>
    <xf numFmtId="0" fontId="10" fillId="0" borderId="93" xfId="23" applyFill="1" applyBorder="1" applyAlignment="1">
      <alignment vertical="top"/>
      <protection/>
    </xf>
    <xf numFmtId="0" fontId="10" fillId="0" borderId="94" xfId="23" applyBorder="1" applyAlignment="1">
      <alignment vertical="top"/>
      <protection/>
    </xf>
    <xf numFmtId="0" fontId="13" fillId="0" borderId="48" xfId="23" applyFont="1" applyFill="1" applyBorder="1" applyAlignment="1">
      <alignment horizontal="center" vertical="top"/>
      <protection/>
    </xf>
    <xf numFmtId="0" fontId="13" fillId="0" borderId="95" xfId="23" applyFont="1" applyBorder="1" applyAlignment="1">
      <alignment horizontal="center" vertical="top"/>
      <protection/>
    </xf>
    <xf numFmtId="9" fontId="0" fillId="0" borderId="52" xfId="24" applyFont="1" applyBorder="1" applyAlignment="1">
      <alignment vertical="top"/>
    </xf>
    <xf numFmtId="0" fontId="13" fillId="0" borderId="52" xfId="23" applyFont="1" applyBorder="1" applyAlignment="1">
      <alignment horizontal="center" vertical="top"/>
      <protection/>
    </xf>
    <xf numFmtId="9" fontId="0" fillId="0" borderId="0" xfId="24" applyFont="1" applyAlignment="1">
      <alignment vertical="top"/>
    </xf>
    <xf numFmtId="0" fontId="1" fillId="0" borderId="6" xfId="20" applyBorder="1" applyProtection="1">
      <alignment/>
      <protection/>
    </xf>
    <xf numFmtId="0" fontId="11" fillId="0" borderId="0" xfId="23" applyFont="1" applyFill="1" applyAlignment="1" applyProtection="1">
      <alignment vertical="top"/>
      <protection/>
    </xf>
    <xf numFmtId="0" fontId="10" fillId="0" borderId="0" xfId="23" applyAlignment="1" applyProtection="1">
      <alignment vertical="top"/>
      <protection/>
    </xf>
    <xf numFmtId="0" fontId="10" fillId="0" borderId="0" xfId="23" applyAlignment="1" applyProtection="1">
      <alignment vertical="top" wrapText="1"/>
      <protection/>
    </xf>
    <xf numFmtId="0" fontId="10" fillId="0" borderId="0" xfId="23" applyAlignment="1" applyProtection="1">
      <alignment horizontal="center" vertical="top"/>
      <protection/>
    </xf>
    <xf numFmtId="0" fontId="10" fillId="0" borderId="0" xfId="23" applyFill="1" applyBorder="1" applyAlignment="1" applyProtection="1">
      <alignment vertical="top"/>
      <protection/>
    </xf>
    <xf numFmtId="0" fontId="10" fillId="0" borderId="0" xfId="23" applyFont="1" applyFill="1" applyBorder="1" applyAlignment="1" applyProtection="1">
      <alignment vertical="top"/>
      <protection/>
    </xf>
    <xf numFmtId="0" fontId="12" fillId="0" borderId="53" xfId="23" applyFont="1" applyFill="1" applyBorder="1" applyAlignment="1" applyProtection="1">
      <alignment vertical="top"/>
      <protection/>
    </xf>
    <xf numFmtId="0" fontId="10" fillId="0" borderId="54" xfId="23" applyBorder="1" applyAlignment="1" applyProtection="1">
      <alignment vertical="top"/>
      <protection/>
    </xf>
    <xf numFmtId="0" fontId="12" fillId="0" borderId="55" xfId="23" applyFont="1" applyFill="1" applyBorder="1" applyAlignment="1" applyProtection="1">
      <alignment vertical="top"/>
      <protection/>
    </xf>
    <xf numFmtId="0" fontId="12" fillId="0" borderId="54" xfId="23" applyFont="1" applyFill="1" applyBorder="1" applyAlignment="1" applyProtection="1">
      <alignment vertical="top"/>
      <protection/>
    </xf>
    <xf numFmtId="0" fontId="12" fillId="0" borderId="16" xfId="23" applyFont="1" applyFill="1" applyBorder="1" applyAlignment="1" applyProtection="1">
      <alignment vertical="top"/>
      <protection/>
    </xf>
    <xf numFmtId="0" fontId="12" fillId="0" borderId="16" xfId="23" applyFont="1" applyFill="1" applyBorder="1" applyAlignment="1" applyProtection="1">
      <alignment vertical="top" wrapText="1"/>
      <protection/>
    </xf>
    <xf numFmtId="0" fontId="12" fillId="0" borderId="17" xfId="23" applyFont="1" applyFill="1" applyBorder="1" applyAlignment="1" applyProtection="1">
      <alignment vertical="top" wrapText="1"/>
      <protection/>
    </xf>
    <xf numFmtId="0" fontId="12" fillId="0" borderId="0" xfId="23" applyFont="1" applyFill="1" applyBorder="1" applyAlignment="1" applyProtection="1">
      <alignment horizontal="center" vertical="top" wrapText="1"/>
      <protection/>
    </xf>
    <xf numFmtId="0" fontId="10" fillId="0" borderId="56" xfId="23" applyBorder="1" applyAlignment="1" applyProtection="1">
      <alignment vertical="top"/>
      <protection/>
    </xf>
    <xf numFmtId="0" fontId="13" fillId="0" borderId="57" xfId="23" applyFont="1" applyBorder="1" applyAlignment="1" applyProtection="1">
      <alignment vertical="top"/>
      <protection/>
    </xf>
    <xf numFmtId="0" fontId="10" fillId="0" borderId="10" xfId="23" applyBorder="1" applyAlignment="1" applyProtection="1">
      <alignment vertical="top" wrapText="1"/>
      <protection/>
    </xf>
    <xf numFmtId="0" fontId="10" fillId="0" borderId="57" xfId="23" applyBorder="1" applyAlignment="1" applyProtection="1">
      <alignment vertical="top" wrapText="1"/>
      <protection/>
    </xf>
    <xf numFmtId="0" fontId="10" fillId="0" borderId="58" xfId="23" applyBorder="1" applyAlignment="1" applyProtection="1">
      <alignment vertical="top"/>
      <protection/>
    </xf>
    <xf numFmtId="0" fontId="10" fillId="0" borderId="10" xfId="23" applyBorder="1" applyAlignment="1" applyProtection="1">
      <alignment vertical="top"/>
      <protection/>
    </xf>
    <xf numFmtId="0" fontId="10" fillId="0" borderId="10" xfId="23" applyBorder="1" applyAlignment="1" applyProtection="1">
      <alignment horizontal="center" vertical="top"/>
      <protection/>
    </xf>
    <xf numFmtId="0" fontId="10" fillId="0" borderId="10" xfId="23" applyFill="1" applyBorder="1" applyAlignment="1" applyProtection="1">
      <alignment vertical="top"/>
      <protection/>
    </xf>
    <xf numFmtId="0" fontId="10" fillId="0" borderId="11" xfId="23" applyBorder="1" applyAlignment="1" applyProtection="1">
      <alignment vertical="top"/>
      <protection/>
    </xf>
    <xf numFmtId="0" fontId="10" fillId="0" borderId="59" xfId="23" applyBorder="1" applyAlignment="1" applyProtection="1">
      <alignment vertical="top"/>
      <protection/>
    </xf>
    <xf numFmtId="0" fontId="10" fillId="0" borderId="60" xfId="23" applyBorder="1" applyAlignment="1" applyProtection="1">
      <alignment vertical="top"/>
      <protection/>
    </xf>
    <xf numFmtId="0" fontId="10" fillId="0" borderId="61" xfId="23" applyBorder="1" applyAlignment="1" applyProtection="1">
      <alignment vertical="top" wrapText="1"/>
      <protection/>
    </xf>
    <xf numFmtId="0" fontId="10" fillId="0" borderId="60" xfId="23" applyBorder="1" applyAlignment="1" applyProtection="1">
      <alignment vertical="top" wrapText="1"/>
      <protection/>
    </xf>
    <xf numFmtId="0" fontId="10" fillId="0" borderId="62" xfId="23" applyBorder="1" applyAlignment="1" applyProtection="1">
      <alignment vertical="top"/>
      <protection/>
    </xf>
    <xf numFmtId="0" fontId="10" fillId="0" borderId="61" xfId="23" applyBorder="1" applyAlignment="1" applyProtection="1">
      <alignment vertical="top"/>
      <protection/>
    </xf>
    <xf numFmtId="0" fontId="10" fillId="0" borderId="61" xfId="23" applyBorder="1" applyAlignment="1" applyProtection="1">
      <alignment horizontal="center" vertical="top"/>
      <protection/>
    </xf>
    <xf numFmtId="0" fontId="10" fillId="0" borderId="61" xfId="23" applyFill="1" applyBorder="1" applyAlignment="1" applyProtection="1">
      <alignment vertical="top"/>
      <protection/>
    </xf>
    <xf numFmtId="0" fontId="10" fillId="0" borderId="63" xfId="23" applyBorder="1" applyAlignment="1" applyProtection="1">
      <alignment vertical="top"/>
      <protection/>
    </xf>
    <xf numFmtId="0" fontId="10" fillId="0" borderId="53" xfId="23" applyBorder="1" applyAlignment="1" applyProtection="1">
      <alignment vertical="top"/>
      <protection/>
    </xf>
    <xf numFmtId="0" fontId="13" fillId="0" borderId="54" xfId="23" applyFont="1" applyBorder="1" applyAlignment="1" applyProtection="1">
      <alignment vertical="top"/>
      <protection/>
    </xf>
    <xf numFmtId="0" fontId="10" fillId="0" borderId="16" xfId="23" applyBorder="1" applyAlignment="1" applyProtection="1">
      <alignment vertical="top" wrapText="1"/>
      <protection/>
    </xf>
    <xf numFmtId="0" fontId="10" fillId="0" borderId="54" xfId="23" applyBorder="1" applyAlignment="1" applyProtection="1">
      <alignment vertical="top" wrapText="1"/>
      <protection/>
    </xf>
    <xf numFmtId="0" fontId="10" fillId="0" borderId="55" xfId="23" applyBorder="1" applyAlignment="1" applyProtection="1">
      <alignment vertical="top"/>
      <protection/>
    </xf>
    <xf numFmtId="0" fontId="10" fillId="0" borderId="16" xfId="23" applyBorder="1" applyAlignment="1" applyProtection="1">
      <alignment vertical="top"/>
      <protection/>
    </xf>
    <xf numFmtId="0" fontId="10" fillId="0" borderId="49" xfId="23" applyBorder="1" applyAlignment="1" applyProtection="1">
      <alignment vertical="top"/>
      <protection/>
    </xf>
    <xf numFmtId="0" fontId="10" fillId="6" borderId="49" xfId="23" applyFill="1" applyBorder="1" applyAlignment="1" applyProtection="1">
      <alignment horizontal="center" vertical="top"/>
      <protection/>
    </xf>
    <xf numFmtId="0" fontId="14" fillId="7" borderId="49" xfId="23" applyFont="1" applyFill="1" applyBorder="1" applyAlignment="1" applyProtection="1">
      <alignment horizontal="center" vertical="top"/>
      <protection/>
    </xf>
    <xf numFmtId="0" fontId="14" fillId="8" borderId="49" xfId="23" applyFont="1" applyFill="1" applyBorder="1" applyAlignment="1" applyProtection="1">
      <alignment horizontal="center" vertical="top"/>
      <protection/>
    </xf>
    <xf numFmtId="0" fontId="13" fillId="9" borderId="42" xfId="23" applyFont="1" applyFill="1" applyBorder="1" applyAlignment="1" applyProtection="1">
      <alignment horizontal="center" vertical="center" wrapText="1"/>
      <protection/>
    </xf>
    <xf numFmtId="0" fontId="10" fillId="10" borderId="49" xfId="23" applyFill="1" applyBorder="1" applyAlignment="1" applyProtection="1">
      <alignment horizontal="center" vertical="center" wrapText="1"/>
      <protection/>
    </xf>
    <xf numFmtId="0" fontId="10" fillId="10" borderId="55" xfId="23" applyFill="1" applyBorder="1" applyAlignment="1" applyProtection="1">
      <alignment horizontal="center" vertical="center" wrapText="1"/>
      <protection/>
    </xf>
    <xf numFmtId="0" fontId="10" fillId="10" borderId="64" xfId="23" applyFill="1" applyBorder="1" applyAlignment="1" applyProtection="1">
      <alignment horizontal="center" vertical="center" wrapText="1"/>
      <protection/>
    </xf>
    <xf numFmtId="0" fontId="10" fillId="10" borderId="3" xfId="23" applyFill="1" applyBorder="1" applyAlignment="1" applyProtection="1">
      <alignment horizontal="center" vertical="center" wrapText="1"/>
      <protection/>
    </xf>
    <xf numFmtId="0" fontId="13" fillId="9" borderId="3" xfId="23" applyFont="1" applyFill="1" applyBorder="1" applyAlignment="1" applyProtection="1">
      <alignment horizontal="center" vertical="center" wrapText="1"/>
      <protection/>
    </xf>
    <xf numFmtId="0" fontId="13" fillId="9" borderId="52" xfId="23" applyFont="1" applyFill="1" applyBorder="1" applyAlignment="1" applyProtection="1">
      <alignment vertical="top"/>
      <protection/>
    </xf>
    <xf numFmtId="0" fontId="15" fillId="5" borderId="57" xfId="23" applyFont="1" applyFill="1" applyBorder="1" applyAlignment="1" applyProtection="1">
      <alignment vertical="top"/>
      <protection/>
    </xf>
    <xf numFmtId="0" fontId="10" fillId="9" borderId="10" xfId="23" applyFill="1" applyBorder="1" applyAlignment="1" applyProtection="1">
      <alignment vertical="top" wrapText="1"/>
      <protection/>
    </xf>
    <xf numFmtId="0" fontId="10" fillId="9" borderId="57" xfId="23" applyFill="1" applyBorder="1" applyAlignment="1" applyProtection="1">
      <alignment vertical="top" wrapText="1"/>
      <protection/>
    </xf>
    <xf numFmtId="0" fontId="10" fillId="0" borderId="1" xfId="23" applyBorder="1" applyAlignment="1" applyProtection="1">
      <alignment horizontal="center" vertical="top"/>
      <protection/>
    </xf>
    <xf numFmtId="0" fontId="10" fillId="0" borderId="65" xfId="23" applyBorder="1" applyAlignment="1" applyProtection="1">
      <alignment horizontal="center" vertical="top"/>
      <protection/>
    </xf>
    <xf numFmtId="0" fontId="10" fillId="0" borderId="67" xfId="23" applyBorder="1" applyAlignment="1" applyProtection="1">
      <alignment horizontal="center" vertical="top"/>
      <protection/>
    </xf>
    <xf numFmtId="0" fontId="10" fillId="0" borderId="68" xfId="23" applyBorder="1" applyAlignment="1" applyProtection="1">
      <alignment horizontal="center" vertical="top"/>
      <protection/>
    </xf>
    <xf numFmtId="0" fontId="10" fillId="0" borderId="88" xfId="23" applyBorder="1" applyAlignment="1" applyProtection="1">
      <alignment horizontal="center" vertical="top"/>
      <protection/>
    </xf>
    <xf numFmtId="0" fontId="10" fillId="0" borderId="0" xfId="23" applyFont="1" applyFill="1" applyBorder="1" applyAlignment="1" applyProtection="1">
      <alignment horizontal="left" vertical="top"/>
      <protection/>
    </xf>
    <xf numFmtId="0" fontId="10" fillId="0" borderId="0" xfId="23" applyFont="1" applyFill="1" applyBorder="1" applyAlignment="1" applyProtection="1">
      <alignment horizontal="center" vertical="top"/>
      <protection/>
    </xf>
    <xf numFmtId="0" fontId="10" fillId="0" borderId="69" xfId="23" applyBorder="1" applyAlignment="1" applyProtection="1">
      <alignment vertical="top"/>
      <protection/>
    </xf>
    <xf numFmtId="0" fontId="10" fillId="0" borderId="70" xfId="23" applyBorder="1" applyAlignment="1" applyProtection="1">
      <alignment vertical="top"/>
      <protection/>
    </xf>
    <xf numFmtId="0" fontId="10" fillId="0" borderId="0" xfId="23" applyBorder="1" applyAlignment="1" applyProtection="1">
      <alignment vertical="top"/>
      <protection/>
    </xf>
    <xf numFmtId="0" fontId="10" fillId="0" borderId="67" xfId="23" applyFill="1" applyBorder="1" applyAlignment="1" applyProtection="1">
      <alignment horizontal="center" vertical="top"/>
      <protection/>
    </xf>
    <xf numFmtId="0" fontId="10" fillId="0" borderId="68" xfId="23" applyFill="1" applyBorder="1" applyAlignment="1" applyProtection="1">
      <alignment horizontal="center" vertical="top"/>
      <protection/>
    </xf>
    <xf numFmtId="0" fontId="10" fillId="0" borderId="72" xfId="23" applyBorder="1" applyAlignment="1" applyProtection="1">
      <alignment horizontal="center" vertical="top"/>
      <protection/>
    </xf>
    <xf numFmtId="0" fontId="10" fillId="9" borderId="58" xfId="23" applyFill="1" applyBorder="1" applyAlignment="1" applyProtection="1">
      <alignment vertical="top" wrapText="1"/>
      <protection/>
    </xf>
    <xf numFmtId="0" fontId="10" fillId="0" borderId="5" xfId="23" applyBorder="1" applyAlignment="1" applyProtection="1">
      <alignment horizontal="center" vertical="top"/>
      <protection/>
    </xf>
    <xf numFmtId="0" fontId="10" fillId="0" borderId="73" xfId="23" applyBorder="1" applyAlignment="1" applyProtection="1">
      <alignment horizontal="center" vertical="top"/>
      <protection/>
    </xf>
    <xf numFmtId="0" fontId="10" fillId="0" borderId="74" xfId="23" applyBorder="1" applyAlignment="1" applyProtection="1">
      <alignment horizontal="center" vertical="top"/>
      <protection/>
    </xf>
    <xf numFmtId="0" fontId="10" fillId="0" borderId="75" xfId="23" applyBorder="1" applyAlignment="1" applyProtection="1">
      <alignment horizontal="center" vertical="top"/>
      <protection/>
    </xf>
    <xf numFmtId="0" fontId="10" fillId="9" borderId="76" xfId="23" applyFill="1" applyBorder="1" applyAlignment="1" applyProtection="1">
      <alignment vertical="top" wrapText="1"/>
      <protection/>
    </xf>
    <xf numFmtId="0" fontId="10" fillId="0" borderId="2" xfId="23" applyBorder="1" applyAlignment="1" applyProtection="1">
      <alignment horizontal="center" vertical="top"/>
      <protection/>
    </xf>
    <xf numFmtId="0" fontId="10" fillId="0" borderId="77" xfId="23" applyBorder="1" applyAlignment="1" applyProtection="1">
      <alignment horizontal="center" vertical="top"/>
      <protection/>
    </xf>
    <xf numFmtId="0" fontId="10" fillId="0" borderId="4" xfId="23" applyBorder="1" applyAlignment="1" applyProtection="1">
      <alignment horizontal="center" vertical="top"/>
      <protection/>
    </xf>
    <xf numFmtId="0" fontId="10" fillId="0" borderId="76" xfId="23" applyBorder="1" applyAlignment="1" applyProtection="1">
      <alignment vertical="top" wrapText="1"/>
      <protection/>
    </xf>
    <xf numFmtId="0" fontId="10" fillId="0" borderId="6" xfId="23" applyBorder="1" applyAlignment="1" applyProtection="1">
      <alignment horizontal="center" vertical="top"/>
      <protection/>
    </xf>
    <xf numFmtId="0" fontId="10" fillId="0" borderId="79" xfId="23" applyBorder="1" applyAlignment="1" applyProtection="1">
      <alignment horizontal="center" vertical="top"/>
      <protection/>
    </xf>
    <xf numFmtId="0" fontId="10" fillId="0" borderId="81" xfId="23" applyBorder="1" applyAlignment="1" applyProtection="1">
      <alignment horizontal="center" vertical="top"/>
      <protection/>
    </xf>
    <xf numFmtId="0" fontId="10" fillId="0" borderId="82" xfId="23" applyBorder="1" applyAlignment="1" applyProtection="1">
      <alignment horizontal="center" vertical="top"/>
      <protection/>
    </xf>
    <xf numFmtId="0" fontId="15" fillId="9" borderId="58" xfId="23" applyFont="1" applyFill="1" applyBorder="1" applyAlignment="1" applyProtection="1">
      <alignment vertical="top" wrapText="1"/>
      <protection/>
    </xf>
    <xf numFmtId="0" fontId="10" fillId="9" borderId="62" xfId="23" applyFill="1" applyBorder="1" applyAlignment="1" applyProtection="1">
      <alignment vertical="top" wrapText="1"/>
      <protection/>
    </xf>
    <xf numFmtId="0" fontId="10" fillId="0" borderId="7" xfId="23" applyBorder="1" applyAlignment="1" applyProtection="1">
      <alignment horizontal="center" vertical="top"/>
      <protection/>
    </xf>
    <xf numFmtId="0" fontId="10" fillId="0" borderId="83" xfId="23" applyBorder="1" applyAlignment="1" applyProtection="1">
      <alignment horizontal="center" vertical="top"/>
      <protection/>
    </xf>
    <xf numFmtId="0" fontId="10" fillId="0" borderId="84" xfId="23" applyBorder="1" applyAlignment="1" applyProtection="1">
      <alignment horizontal="center" vertical="top"/>
      <protection/>
    </xf>
    <xf numFmtId="0" fontId="10" fillId="0" borderId="85" xfId="23" applyBorder="1" applyAlignment="1" applyProtection="1">
      <alignment horizontal="center" vertical="top"/>
      <protection/>
    </xf>
    <xf numFmtId="0" fontId="10" fillId="5" borderId="57" xfId="23" applyFill="1" applyBorder="1" applyAlignment="1" applyProtection="1">
      <alignment vertical="top"/>
      <protection/>
    </xf>
    <xf numFmtId="0" fontId="10" fillId="0" borderId="8" xfId="23" applyBorder="1" applyAlignment="1" applyProtection="1">
      <alignment horizontal="center" vertical="top"/>
      <protection/>
    </xf>
    <xf numFmtId="0" fontId="10" fillId="0" borderId="70" xfId="23" applyFill="1" applyBorder="1" applyAlignment="1" applyProtection="1">
      <alignment vertical="top"/>
      <protection/>
    </xf>
    <xf numFmtId="0" fontId="10" fillId="0" borderId="9" xfId="23" applyBorder="1" applyAlignment="1" applyProtection="1">
      <alignment horizontal="center" vertical="top"/>
      <protection/>
    </xf>
    <xf numFmtId="0" fontId="10" fillId="11" borderId="56" xfId="23" applyFont="1" applyFill="1" applyBorder="1" applyAlignment="1" applyProtection="1">
      <alignment vertical="top"/>
      <protection/>
    </xf>
    <xf numFmtId="0" fontId="10" fillId="11" borderId="57" xfId="23" applyFont="1" applyFill="1" applyBorder="1" applyAlignment="1" applyProtection="1">
      <alignment vertical="top"/>
      <protection/>
    </xf>
    <xf numFmtId="0" fontId="10" fillId="9" borderId="0" xfId="23" applyFill="1" applyAlignment="1" applyProtection="1">
      <alignment vertical="top" wrapText="1"/>
      <protection/>
    </xf>
    <xf numFmtId="0" fontId="10" fillId="0" borderId="69" xfId="23" applyFont="1" applyBorder="1" applyAlignment="1" applyProtection="1">
      <alignment vertical="top"/>
      <protection/>
    </xf>
    <xf numFmtId="0" fontId="10" fillId="0" borderId="70" xfId="23" applyFont="1" applyBorder="1" applyAlignment="1" applyProtection="1">
      <alignment vertical="top"/>
      <protection/>
    </xf>
    <xf numFmtId="0" fontId="10" fillId="0" borderId="0" xfId="23" applyBorder="1" applyAlignment="1" applyProtection="1">
      <alignment vertical="top" wrapText="1"/>
      <protection/>
    </xf>
    <xf numFmtId="0" fontId="10" fillId="9" borderId="10" xfId="23" applyFill="1" applyBorder="1" applyProtection="1">
      <alignment/>
      <protection/>
    </xf>
    <xf numFmtId="0" fontId="10" fillId="0" borderId="74" xfId="23" applyFill="1" applyBorder="1" applyAlignment="1" applyProtection="1">
      <alignment horizontal="center" vertical="top"/>
      <protection/>
    </xf>
    <xf numFmtId="0" fontId="10" fillId="0" borderId="75" xfId="23" applyFill="1" applyBorder="1" applyAlignment="1" applyProtection="1">
      <alignment horizontal="center" vertical="top"/>
      <protection/>
    </xf>
    <xf numFmtId="0" fontId="10" fillId="0" borderId="59" xfId="23" applyFont="1" applyBorder="1" applyAlignment="1" applyProtection="1">
      <alignment vertical="top"/>
      <protection/>
    </xf>
    <xf numFmtId="0" fontId="10" fillId="0" borderId="60" xfId="23" applyFont="1" applyBorder="1" applyAlignment="1" applyProtection="1">
      <alignment vertical="top"/>
      <protection/>
    </xf>
    <xf numFmtId="0" fontId="10" fillId="0" borderId="61" xfId="23" applyFill="1" applyBorder="1" applyProtection="1">
      <alignment/>
      <protection/>
    </xf>
    <xf numFmtId="0" fontId="16" fillId="9" borderId="10" xfId="23" applyFont="1" applyFill="1" applyBorder="1" applyAlignment="1" applyProtection="1">
      <alignment wrapText="1"/>
      <protection/>
    </xf>
    <xf numFmtId="0" fontId="10" fillId="0" borderId="62" xfId="23" applyBorder="1" applyAlignment="1" applyProtection="1">
      <alignment vertical="top" wrapText="1"/>
      <protection/>
    </xf>
    <xf numFmtId="0" fontId="10" fillId="0" borderId="76" xfId="23" applyBorder="1" applyAlignment="1" applyProtection="1">
      <alignment vertical="top"/>
      <protection/>
    </xf>
    <xf numFmtId="0" fontId="16" fillId="9" borderId="0" xfId="23" applyFont="1" applyFill="1" applyProtection="1">
      <alignment/>
      <protection/>
    </xf>
    <xf numFmtId="0" fontId="10" fillId="11" borderId="57" xfId="23" applyFont="1" applyFill="1" applyBorder="1" applyAlignment="1" applyProtection="1">
      <alignment vertical="top" wrapText="1"/>
      <protection/>
    </xf>
    <xf numFmtId="0" fontId="15" fillId="11" borderId="69" xfId="23" applyFont="1" applyFill="1" applyBorder="1" applyAlignment="1" applyProtection="1">
      <alignment vertical="top"/>
      <protection/>
    </xf>
    <xf numFmtId="0" fontId="10" fillId="11" borderId="70" xfId="23" applyFont="1" applyFill="1" applyBorder="1" applyAlignment="1" applyProtection="1">
      <alignment vertical="top" wrapText="1"/>
      <protection/>
    </xf>
    <xf numFmtId="0" fontId="15" fillId="9" borderId="76" xfId="23" applyFont="1" applyFill="1" applyBorder="1" applyAlignment="1" applyProtection="1">
      <alignment vertical="top" wrapText="1"/>
      <protection/>
    </xf>
    <xf numFmtId="0" fontId="10" fillId="11" borderId="69" xfId="23" applyFont="1" applyFill="1" applyBorder="1" applyAlignment="1" applyProtection="1">
      <alignment vertical="top"/>
      <protection/>
    </xf>
    <xf numFmtId="0" fontId="10" fillId="11" borderId="70" xfId="23" applyFont="1" applyFill="1" applyBorder="1" applyAlignment="1" applyProtection="1">
      <alignment vertical="top"/>
      <protection/>
    </xf>
    <xf numFmtId="0" fontId="15" fillId="9" borderId="0" xfId="23" applyFont="1" applyFill="1" applyAlignment="1" applyProtection="1">
      <alignment wrapText="1"/>
      <protection/>
    </xf>
    <xf numFmtId="0" fontId="10" fillId="0" borderId="0" xfId="23" applyFill="1" applyBorder="1" applyAlignment="1" applyProtection="1">
      <alignment vertical="top" wrapText="1"/>
      <protection/>
    </xf>
    <xf numFmtId="0" fontId="13" fillId="0" borderId="0" xfId="23" applyFont="1" applyFill="1" applyBorder="1" applyAlignment="1" applyProtection="1">
      <alignment vertical="top" wrapText="1"/>
      <protection/>
    </xf>
    <xf numFmtId="0" fontId="13" fillId="0" borderId="0" xfId="23" applyFont="1" applyAlignment="1" applyProtection="1">
      <alignment vertical="top" wrapText="1"/>
      <protection/>
    </xf>
    <xf numFmtId="0" fontId="0" fillId="0" borderId="0" xfId="0" applyAlignment="1" applyProtection="1">
      <alignment horizontal="right" vertical="top"/>
      <protection/>
    </xf>
    <xf numFmtId="0" fontId="0" fillId="0" borderId="0" xfId="0" applyAlignment="1" applyProtection="1">
      <alignment vertical="top"/>
      <protection/>
    </xf>
    <xf numFmtId="0" fontId="10" fillId="0" borderId="0" xfId="23" applyAlignment="1" applyProtection="1">
      <alignment horizontal="right" vertical="top"/>
      <protection/>
    </xf>
    <xf numFmtId="0" fontId="10" fillId="0" borderId="92" xfId="23" applyFill="1" applyBorder="1" applyAlignment="1" applyProtection="1">
      <alignment horizontal="center" vertical="top"/>
      <protection/>
    </xf>
    <xf numFmtId="0" fontId="10" fillId="0" borderId="93" xfId="23" applyFill="1" applyBorder="1" applyAlignment="1" applyProtection="1">
      <alignment horizontal="center" vertical="top"/>
      <protection/>
    </xf>
    <xf numFmtId="0" fontId="10" fillId="0" borderId="94" xfId="23" applyBorder="1" applyAlignment="1" applyProtection="1">
      <alignment vertical="top"/>
      <protection/>
    </xf>
    <xf numFmtId="9" fontId="0" fillId="0" borderId="48" xfId="24" applyFont="1" applyBorder="1" applyAlignment="1" applyProtection="1">
      <alignment vertical="top"/>
      <protection/>
    </xf>
    <xf numFmtId="9" fontId="0" fillId="0" borderId="95" xfId="24" applyFont="1" applyBorder="1" applyAlignment="1" applyProtection="1">
      <alignment vertical="top"/>
      <protection/>
    </xf>
    <xf numFmtId="9" fontId="0" fillId="0" borderId="52" xfId="24" applyFont="1" applyBorder="1" applyAlignment="1" applyProtection="1">
      <alignment vertical="top"/>
      <protection/>
    </xf>
    <xf numFmtId="9" fontId="0" fillId="0" borderId="0" xfId="24" applyFont="1" applyFill="1" applyBorder="1" applyAlignment="1" applyProtection="1">
      <alignment vertical="top"/>
      <protection/>
    </xf>
    <xf numFmtId="0" fontId="13" fillId="0" borderId="48" xfId="23" applyFont="1" applyFill="1" applyBorder="1" applyAlignment="1" applyProtection="1">
      <alignment horizontal="center" vertical="top"/>
      <protection/>
    </xf>
    <xf numFmtId="0" fontId="13" fillId="0" borderId="95" xfId="23" applyFont="1" applyBorder="1" applyAlignment="1" applyProtection="1">
      <alignment horizontal="center" vertical="top"/>
      <protection/>
    </xf>
    <xf numFmtId="0" fontId="13" fillId="0" borderId="52" xfId="23" applyFont="1" applyBorder="1" applyAlignment="1" applyProtection="1">
      <alignment horizontal="center" vertical="top"/>
      <protection/>
    </xf>
    <xf numFmtId="0" fontId="10" fillId="0" borderId="0" xfId="23" applyFill="1" applyAlignment="1" applyProtection="1">
      <alignment vertical="top"/>
      <protection/>
    </xf>
    <xf numFmtId="0" fontId="15" fillId="0" borderId="0" xfId="23" applyFont="1" applyFill="1" applyAlignment="1" applyProtection="1">
      <alignment horizontal="right" vertical="top"/>
      <protection/>
    </xf>
    <xf numFmtId="0" fontId="15" fillId="0" borderId="0" xfId="23" applyFont="1" applyFill="1" applyAlignment="1" applyProtection="1">
      <alignment vertical="top"/>
      <protection/>
    </xf>
    <xf numFmtId="9" fontId="10" fillId="0" borderId="0" xfId="23" applyNumberFormat="1" applyAlignment="1" applyProtection="1">
      <alignment vertical="top"/>
      <protection/>
    </xf>
    <xf numFmtId="10" fontId="10" fillId="0" borderId="0" xfId="23" applyNumberFormat="1" applyAlignment="1" applyProtection="1">
      <alignment vertical="top"/>
      <protection/>
    </xf>
    <xf numFmtId="0" fontId="0" fillId="0" borderId="0" xfId="0" applyFill="1" applyProtection="1">
      <protection/>
    </xf>
    <xf numFmtId="9" fontId="0" fillId="0" borderId="0" xfId="0" applyNumberFormat="1" applyFill="1" applyProtection="1">
      <protection/>
    </xf>
    <xf numFmtId="0" fontId="0" fillId="0" borderId="0" xfId="0" applyFill="1" applyBorder="1" applyProtection="1">
      <protection/>
    </xf>
    <xf numFmtId="0" fontId="10" fillId="0" borderId="69" xfId="23" applyNumberFormat="1" applyBorder="1" applyAlignment="1" applyProtection="1">
      <alignment vertical="top"/>
      <protection/>
    </xf>
    <xf numFmtId="0" fontId="10" fillId="0" borderId="70" xfId="23" applyNumberFormat="1" applyBorder="1" applyAlignment="1" applyProtection="1">
      <alignment vertical="top"/>
      <protection/>
    </xf>
    <xf numFmtId="0" fontId="10" fillId="0" borderId="69" xfId="23" applyNumberFormat="1" applyFont="1" applyBorder="1" applyAlignment="1" applyProtection="1">
      <alignment vertical="top"/>
      <protection/>
    </xf>
    <xf numFmtId="0" fontId="10" fillId="0" borderId="70" xfId="23" applyNumberFormat="1" applyFont="1" applyBorder="1" applyAlignment="1" applyProtection="1">
      <alignment vertical="top"/>
      <protection/>
    </xf>
    <xf numFmtId="0" fontId="10" fillId="0" borderId="59" xfId="23" applyNumberFormat="1" applyFont="1" applyBorder="1" applyAlignment="1" applyProtection="1">
      <alignment vertical="top"/>
      <protection/>
    </xf>
    <xf numFmtId="0" fontId="10" fillId="0" borderId="60" xfId="23" applyNumberFormat="1" applyFont="1" applyBorder="1" applyAlignment="1" applyProtection="1">
      <alignment vertical="top"/>
      <protection/>
    </xf>
    <xf numFmtId="0" fontId="10" fillId="0" borderId="56" xfId="23" applyNumberFormat="1" applyFont="1" applyBorder="1" applyAlignment="1" applyProtection="1">
      <alignment vertical="top"/>
      <protection/>
    </xf>
    <xf numFmtId="0" fontId="10" fillId="0" borderId="57" xfId="23" applyNumberFormat="1" applyFont="1" applyBorder="1" applyAlignment="1" applyProtection="1">
      <alignment vertical="top"/>
      <protection/>
    </xf>
    <xf numFmtId="0" fontId="10" fillId="0" borderId="0" xfId="23" applyNumberFormat="1" applyBorder="1" applyAlignment="1" applyProtection="1">
      <alignment vertical="top"/>
      <protection/>
    </xf>
    <xf numFmtId="0" fontId="10" fillId="0" borderId="59" xfId="23" applyNumberFormat="1" applyBorder="1" applyAlignment="1" applyProtection="1">
      <alignment vertical="top"/>
      <protection/>
    </xf>
    <xf numFmtId="0" fontId="10" fillId="0" borderId="60" xfId="23" applyNumberFormat="1" applyBorder="1" applyAlignment="1" applyProtection="1">
      <alignment vertical="top"/>
      <protection/>
    </xf>
    <xf numFmtId="0" fontId="10" fillId="0" borderId="65" xfId="23" applyBorder="1" applyAlignment="1" applyProtection="1">
      <alignment horizontal="left" vertical="top" wrapText="1"/>
      <protection/>
    </xf>
    <xf numFmtId="0" fontId="10" fillId="0" borderId="66" xfId="23" applyBorder="1" applyAlignment="1" applyProtection="1">
      <alignment horizontal="left" vertical="top"/>
      <protection/>
    </xf>
    <xf numFmtId="0" fontId="10" fillId="0" borderId="5" xfId="23" applyBorder="1" applyAlignment="1" applyProtection="1">
      <alignment horizontal="left" vertical="top"/>
      <protection/>
    </xf>
    <xf numFmtId="0" fontId="10" fillId="0" borderId="0" xfId="23" applyAlignment="1" applyProtection="1">
      <alignment horizontal="left" vertical="top"/>
      <protection/>
    </xf>
    <xf numFmtId="0" fontId="10" fillId="0" borderId="71" xfId="23" applyBorder="1" applyAlignment="1" applyProtection="1">
      <alignment horizontal="left" vertical="top"/>
      <protection/>
    </xf>
    <xf numFmtId="0" fontId="10" fillId="0" borderId="73" xfId="23" applyBorder="1" applyAlignment="1" applyProtection="1">
      <alignment horizontal="left" vertical="top" wrapText="1"/>
      <protection/>
    </xf>
    <xf numFmtId="0" fontId="10" fillId="0" borderId="66" xfId="23" applyBorder="1" applyAlignment="1" applyProtection="1">
      <alignment horizontal="left" vertical="top" wrapText="1"/>
      <protection/>
    </xf>
    <xf numFmtId="0" fontId="10" fillId="0" borderId="5" xfId="23" applyBorder="1" applyAlignment="1" applyProtection="1">
      <alignment horizontal="left" vertical="top" wrapText="1"/>
      <protection/>
    </xf>
    <xf numFmtId="0" fontId="10" fillId="0" borderId="77" xfId="23" applyBorder="1" applyAlignment="1" applyProtection="1">
      <alignment horizontal="left" vertical="top" wrapText="1"/>
      <protection/>
    </xf>
    <xf numFmtId="0" fontId="10" fillId="0" borderId="78" xfId="23" applyBorder="1" applyAlignment="1" applyProtection="1">
      <alignment horizontal="left" vertical="top" wrapText="1"/>
      <protection/>
    </xf>
    <xf numFmtId="0" fontId="10" fillId="0" borderId="2" xfId="23" applyBorder="1" applyAlignment="1" applyProtection="1">
      <alignment horizontal="left" vertical="top" wrapText="1"/>
      <protection/>
    </xf>
    <xf numFmtId="0" fontId="10" fillId="0" borderId="79" xfId="23" applyBorder="1" applyAlignment="1" applyProtection="1">
      <alignment horizontal="left" vertical="top" wrapText="1"/>
      <protection/>
    </xf>
    <xf numFmtId="0" fontId="10" fillId="0" borderId="80" xfId="23" applyBorder="1" applyAlignment="1" applyProtection="1">
      <alignment horizontal="left" vertical="top" wrapText="1"/>
      <protection/>
    </xf>
    <xf numFmtId="0" fontId="10" fillId="0" borderId="7" xfId="23" applyBorder="1" applyAlignment="1" applyProtection="1">
      <alignment horizontal="left" vertical="top" wrapText="1"/>
      <protection/>
    </xf>
    <xf numFmtId="0" fontId="10" fillId="0" borderId="83" xfId="23" applyBorder="1" applyAlignment="1" applyProtection="1">
      <alignment horizontal="left" vertical="top" wrapText="1"/>
      <protection/>
    </xf>
    <xf numFmtId="0" fontId="10" fillId="0" borderId="76" xfId="23" applyBorder="1" applyAlignment="1" applyProtection="1">
      <alignment horizontal="left" vertical="top" wrapText="1"/>
      <protection/>
    </xf>
    <xf numFmtId="0" fontId="10" fillId="0" borderId="0" xfId="23" applyBorder="1" applyAlignment="1" applyProtection="1">
      <alignment horizontal="left" vertical="top" wrapText="1"/>
      <protection/>
    </xf>
    <xf numFmtId="0" fontId="10" fillId="0" borderId="71" xfId="23" applyBorder="1" applyAlignment="1" applyProtection="1">
      <alignment horizontal="left" vertical="top" wrapText="1"/>
      <protection/>
    </xf>
    <xf numFmtId="0" fontId="10" fillId="0" borderId="66" xfId="23" applyFill="1" applyBorder="1" applyAlignment="1" applyProtection="1">
      <alignment horizontal="left" vertical="top" wrapText="1"/>
      <protection/>
    </xf>
    <xf numFmtId="0" fontId="10" fillId="0" borderId="88" xfId="23" applyBorder="1" applyAlignment="1" applyProtection="1">
      <alignment horizontal="left" vertical="top" wrapText="1"/>
      <protection/>
    </xf>
    <xf numFmtId="0" fontId="10" fillId="0" borderId="1" xfId="23" applyBorder="1" applyAlignment="1" applyProtection="1">
      <alignment horizontal="left" vertical="top" wrapText="1"/>
      <protection/>
    </xf>
    <xf numFmtId="0" fontId="10" fillId="0" borderId="61" xfId="23" applyBorder="1" applyAlignment="1" applyProtection="1">
      <alignment horizontal="left" vertical="top"/>
      <protection/>
    </xf>
    <xf numFmtId="0" fontId="10" fillId="0" borderId="89" xfId="23" applyBorder="1" applyAlignment="1" applyProtection="1">
      <alignment horizontal="left" vertical="top"/>
      <protection/>
    </xf>
    <xf numFmtId="0" fontId="15" fillId="0" borderId="73" xfId="23" applyFont="1" applyBorder="1" applyAlignment="1" applyProtection="1">
      <alignment horizontal="left" vertical="top" wrapText="1"/>
      <protection/>
    </xf>
    <xf numFmtId="0" fontId="15" fillId="0" borderId="66" xfId="23" applyFont="1" applyBorder="1" applyAlignment="1" applyProtection="1">
      <alignment horizontal="left" vertical="top" wrapText="1"/>
      <protection/>
    </xf>
    <xf numFmtId="0" fontId="15" fillId="0" borderId="5" xfId="23" applyFont="1" applyBorder="1" applyAlignment="1" applyProtection="1">
      <alignment horizontal="left" vertical="top" wrapText="1"/>
      <protection/>
    </xf>
    <xf numFmtId="0" fontId="15" fillId="0" borderId="65" xfId="23" applyFont="1" applyBorder="1" applyAlignment="1" applyProtection="1">
      <alignment horizontal="left" vertical="top" wrapText="1"/>
      <protection/>
    </xf>
    <xf numFmtId="0" fontId="10" fillId="0" borderId="2" xfId="23" applyBorder="1" applyAlignment="1" applyProtection="1">
      <alignment horizontal="left" vertical="top"/>
      <protection/>
    </xf>
    <xf numFmtId="0" fontId="15" fillId="0" borderId="77" xfId="23" applyFont="1" applyBorder="1" applyAlignment="1" applyProtection="1">
      <alignment horizontal="left" vertical="top" wrapText="1"/>
      <protection/>
    </xf>
    <xf numFmtId="0" fontId="15" fillId="0" borderId="78" xfId="23" applyFont="1" applyBorder="1" applyAlignment="1" applyProtection="1">
      <alignment horizontal="left" vertical="top" wrapText="1"/>
      <protection/>
    </xf>
    <xf numFmtId="0" fontId="10" fillId="0" borderId="0" xfId="23" applyFont="1" applyAlignment="1" applyProtection="1">
      <alignment horizontal="left" vertical="top"/>
      <protection/>
    </xf>
    <xf numFmtId="0" fontId="10" fillId="0" borderId="71" xfId="23" applyFont="1" applyBorder="1" applyAlignment="1" applyProtection="1">
      <alignment horizontal="left" vertical="top"/>
      <protection/>
    </xf>
    <xf numFmtId="0" fontId="15" fillId="0" borderId="79" xfId="23" applyFont="1" applyBorder="1" applyAlignment="1" applyProtection="1">
      <alignment horizontal="left" vertical="top" wrapText="1"/>
      <protection/>
    </xf>
    <xf numFmtId="0" fontId="15" fillId="0" borderId="91" xfId="23" applyFont="1" applyBorder="1" applyAlignment="1" applyProtection="1">
      <alignment horizontal="left" vertical="top" wrapText="1"/>
      <protection/>
    </xf>
    <xf numFmtId="0" fontId="15" fillId="0" borderId="6" xfId="23" applyFont="1" applyBorder="1" applyAlignment="1" applyProtection="1">
      <alignment horizontal="left" vertical="top" wrapText="1"/>
      <protection/>
    </xf>
    <xf numFmtId="0" fontId="15" fillId="0" borderId="2" xfId="23" applyFont="1" applyBorder="1" applyAlignment="1" applyProtection="1">
      <alignment horizontal="left" vertical="top" wrapText="1"/>
      <protection/>
    </xf>
    <xf numFmtId="0" fontId="15" fillId="0" borderId="83" xfId="23" applyFont="1" applyBorder="1" applyAlignment="1" applyProtection="1">
      <alignment horizontal="left" vertical="top" wrapText="1"/>
      <protection/>
    </xf>
    <xf numFmtId="0" fontId="15" fillId="0" borderId="80" xfId="23" applyFont="1" applyBorder="1" applyAlignment="1" applyProtection="1">
      <alignment horizontal="left" vertical="top" wrapText="1"/>
      <protection/>
    </xf>
    <xf numFmtId="0" fontId="15" fillId="0" borderId="7" xfId="23" applyFont="1" applyBorder="1" applyAlignment="1" applyProtection="1">
      <alignment horizontal="left" vertical="top" wrapText="1"/>
      <protection/>
    </xf>
    <xf numFmtId="0" fontId="10" fillId="6" borderId="1" xfId="23" applyFill="1" applyBorder="1" applyAlignment="1" applyProtection="1">
      <alignment horizontal="center" vertical="top"/>
      <protection/>
    </xf>
    <xf numFmtId="0" fontId="14" fillId="7" borderId="1" xfId="23" applyFont="1" applyFill="1" applyBorder="1" applyAlignment="1" applyProtection="1">
      <alignment horizontal="center" vertical="top"/>
      <protection/>
    </xf>
    <xf numFmtId="0" fontId="14" fillId="8" borderId="1" xfId="23" applyFont="1" applyFill="1" applyBorder="1" applyAlignment="1" applyProtection="1">
      <alignment horizontal="center" vertical="top"/>
      <protection/>
    </xf>
    <xf numFmtId="0" fontId="10" fillId="6" borderId="5" xfId="23" applyFill="1" applyBorder="1" applyAlignment="1" applyProtection="1">
      <alignment horizontal="center" vertical="top"/>
      <protection/>
    </xf>
    <xf numFmtId="0" fontId="14" fillId="7" borderId="5" xfId="23" applyFont="1" applyFill="1" applyBorder="1" applyAlignment="1" applyProtection="1">
      <alignment horizontal="center" vertical="top"/>
      <protection/>
    </xf>
    <xf numFmtId="0" fontId="14" fillId="8" borderId="5" xfId="23" applyFont="1" applyFill="1" applyBorder="1" applyAlignment="1" applyProtection="1">
      <alignment horizontal="center" vertical="top"/>
      <protection/>
    </xf>
    <xf numFmtId="0" fontId="10" fillId="6" borderId="2" xfId="23" applyFill="1" applyBorder="1" applyAlignment="1" applyProtection="1">
      <alignment horizontal="center" vertical="top"/>
      <protection/>
    </xf>
    <xf numFmtId="0" fontId="14" fillId="7" borderId="2" xfId="23" applyFont="1" applyFill="1" applyBorder="1" applyAlignment="1" applyProtection="1">
      <alignment horizontal="center" vertical="top"/>
      <protection/>
    </xf>
    <xf numFmtId="0" fontId="14" fillId="8" borderId="2" xfId="23" applyFont="1" applyFill="1" applyBorder="1" applyAlignment="1" applyProtection="1">
      <alignment horizontal="center" vertical="top"/>
      <protection/>
    </xf>
    <xf numFmtId="0" fontId="10" fillId="6" borderId="6" xfId="23" applyFill="1" applyBorder="1" applyAlignment="1" applyProtection="1">
      <alignment horizontal="center" vertical="top"/>
      <protection/>
    </xf>
    <xf numFmtId="0" fontId="14" fillId="7" borderId="6" xfId="23" applyFont="1" applyFill="1" applyBorder="1" applyAlignment="1" applyProtection="1">
      <alignment horizontal="center" vertical="top"/>
      <protection/>
    </xf>
    <xf numFmtId="0" fontId="14" fillId="8" borderId="6" xfId="23" applyFont="1" applyFill="1" applyBorder="1" applyAlignment="1" applyProtection="1">
      <alignment horizontal="center" vertical="top"/>
      <protection/>
    </xf>
    <xf numFmtId="0" fontId="10" fillId="6" borderId="7" xfId="23" applyFill="1" applyBorder="1" applyAlignment="1" applyProtection="1">
      <alignment horizontal="center" vertical="top"/>
      <protection/>
    </xf>
    <xf numFmtId="0" fontId="14" fillId="7" borderId="7" xfId="23" applyFont="1" applyFill="1" applyBorder="1" applyAlignment="1" applyProtection="1">
      <alignment horizontal="center" vertical="top"/>
      <protection/>
    </xf>
    <xf numFmtId="0" fontId="14" fillId="8" borderId="7" xfId="23" applyFont="1" applyFill="1" applyBorder="1" applyAlignment="1" applyProtection="1">
      <alignment horizontal="center" vertical="top"/>
      <protection/>
    </xf>
    <xf numFmtId="0" fontId="14" fillId="7" borderId="8" xfId="23" applyFont="1" applyFill="1" applyBorder="1" applyAlignment="1" applyProtection="1">
      <alignment horizontal="center" vertical="top"/>
      <protection/>
    </xf>
    <xf numFmtId="0" fontId="14" fillId="8" borderId="8" xfId="23" applyFont="1" applyFill="1" applyBorder="1" applyAlignment="1" applyProtection="1">
      <alignment horizontal="center" vertical="top"/>
      <protection/>
    </xf>
    <xf numFmtId="0" fontId="14" fillId="7" borderId="9" xfId="23" applyFont="1" applyFill="1" applyBorder="1" applyAlignment="1" applyProtection="1">
      <alignment horizontal="center" vertical="top"/>
      <protection/>
    </xf>
    <xf numFmtId="0" fontId="14" fillId="8" borderId="9" xfId="23" applyFont="1" applyFill="1" applyBorder="1" applyAlignment="1" applyProtection="1">
      <alignment horizontal="center" vertical="top"/>
      <protection/>
    </xf>
    <xf numFmtId="0" fontId="10" fillId="0" borderId="1" xfId="23" applyBorder="1" applyAlignment="1" applyProtection="1">
      <alignment horizontal="center" vertical="top" wrapText="1"/>
      <protection/>
    </xf>
    <xf numFmtId="0" fontId="14" fillId="8" borderId="8" xfId="23" applyFont="1" applyFill="1" applyBorder="1" applyAlignment="1" applyProtection="1">
      <alignment horizontal="center" vertical="top" wrapText="1"/>
      <protection/>
    </xf>
    <xf numFmtId="0" fontId="10" fillId="0" borderId="2" xfId="23" applyBorder="1" applyAlignment="1" applyProtection="1">
      <alignment horizontal="center" vertical="top" wrapText="1"/>
      <protection/>
    </xf>
    <xf numFmtId="0" fontId="14" fillId="8" borderId="86" xfId="23" applyFont="1" applyFill="1" applyBorder="1" applyAlignment="1" applyProtection="1">
      <alignment horizontal="center" vertical="top" wrapText="1"/>
      <protection/>
    </xf>
    <xf numFmtId="0" fontId="10" fillId="0" borderId="5" xfId="23" applyBorder="1" applyAlignment="1" applyProtection="1">
      <alignment horizontal="center" vertical="top" wrapText="1"/>
      <protection/>
    </xf>
    <xf numFmtId="0" fontId="10" fillId="0" borderId="7" xfId="23" applyBorder="1" applyAlignment="1" applyProtection="1">
      <alignment horizontal="center" vertical="top" wrapText="1"/>
      <protection/>
    </xf>
    <xf numFmtId="0" fontId="14" fillId="8" borderId="87" xfId="23" applyFont="1" applyFill="1" applyBorder="1" applyAlignment="1" applyProtection="1">
      <alignment horizontal="center" vertical="top" wrapText="1"/>
      <protection/>
    </xf>
    <xf numFmtId="0" fontId="14" fillId="8" borderId="9" xfId="23" applyFont="1" applyFill="1" applyBorder="1" applyAlignment="1" applyProtection="1">
      <alignment horizontal="center" vertical="top" wrapText="1"/>
      <protection/>
    </xf>
    <xf numFmtId="0" fontId="14" fillId="7" borderId="87" xfId="23" applyFont="1" applyFill="1" applyBorder="1" applyAlignment="1" applyProtection="1">
      <alignment horizontal="center" vertical="top" wrapText="1"/>
      <protection/>
    </xf>
    <xf numFmtId="0" fontId="14" fillId="12" borderId="9" xfId="23" applyFont="1" applyFill="1" applyBorder="1" applyAlignment="1" applyProtection="1">
      <alignment horizontal="center" vertical="top" wrapText="1"/>
      <protection/>
    </xf>
    <xf numFmtId="0" fontId="14" fillId="7" borderId="8" xfId="23" applyFont="1" applyFill="1" applyBorder="1" applyAlignment="1" applyProtection="1">
      <alignment horizontal="center" vertical="top" wrapText="1"/>
      <protection/>
    </xf>
    <xf numFmtId="0" fontId="10" fillId="0" borderId="6" xfId="23" applyBorder="1" applyAlignment="1" applyProtection="1">
      <alignment horizontal="center" vertical="top" wrapText="1"/>
      <protection/>
    </xf>
    <xf numFmtId="0" fontId="14" fillId="7" borderId="90" xfId="23" applyFont="1" applyFill="1" applyBorder="1" applyAlignment="1" applyProtection="1">
      <alignment horizontal="center" vertical="top" wrapText="1"/>
      <protection/>
    </xf>
    <xf numFmtId="0" fontId="14" fillId="8" borderId="90" xfId="23" applyFont="1" applyFill="1" applyBorder="1" applyAlignment="1" applyProtection="1">
      <alignment horizontal="center" vertical="top" wrapText="1"/>
      <protection/>
    </xf>
    <xf numFmtId="0" fontId="10" fillId="6" borderId="5" xfId="23" applyFill="1" applyBorder="1" applyAlignment="1" applyProtection="1">
      <alignment horizontal="center" vertical="top" wrapText="1"/>
      <protection/>
    </xf>
    <xf numFmtId="0" fontId="10" fillId="6" borderId="2" xfId="23" applyFill="1" applyBorder="1" applyAlignment="1" applyProtection="1">
      <alignment horizontal="center" vertical="top" wrapText="1"/>
      <protection/>
    </xf>
    <xf numFmtId="0" fontId="14" fillId="7" borderId="9" xfId="23" applyFont="1" applyFill="1" applyBorder="1" applyAlignment="1" applyProtection="1">
      <alignment horizontal="center" vertical="top" wrapText="1"/>
      <protection/>
    </xf>
    <xf numFmtId="0" fontId="10" fillId="6" borderId="7" xfId="23" applyFill="1" applyBorder="1" applyAlignment="1" applyProtection="1">
      <alignment horizontal="center" vertical="top" wrapText="1"/>
      <protection/>
    </xf>
    <xf numFmtId="0" fontId="10" fillId="0" borderId="9" xfId="23" applyBorder="1" applyAlignment="1" applyProtection="1">
      <alignment horizontal="center" vertical="top" wrapText="1"/>
      <protection/>
    </xf>
    <xf numFmtId="0" fontId="10" fillId="0" borderId="6" xfId="23" applyFill="1" applyBorder="1" applyAlignment="1" applyProtection="1">
      <alignment horizontal="center" vertical="top" wrapText="1"/>
      <protection/>
    </xf>
    <xf numFmtId="166" fontId="10" fillId="0" borderId="60" xfId="23" applyNumberFormat="1" applyFont="1" applyFill="1" applyBorder="1" applyAlignment="1" applyProtection="1">
      <alignment vertical="top"/>
      <protection/>
    </xf>
    <xf numFmtId="0" fontId="1" fillId="0" borderId="3" xfId="20" applyBorder="1" applyAlignment="1" applyProtection="1">
      <alignment horizontal="left"/>
      <protection/>
    </xf>
    <xf numFmtId="0" fontId="1" fillId="0" borderId="7" xfId="20" applyBorder="1" applyProtection="1">
      <alignment/>
      <protection locked="0"/>
    </xf>
    <xf numFmtId="0" fontId="1" fillId="0" borderId="85" xfId="20" applyBorder="1" applyAlignment="1" applyProtection="1">
      <alignment horizontal="left"/>
      <protection locked="0"/>
    </xf>
    <xf numFmtId="166" fontId="7" fillId="0" borderId="0" xfId="0" applyNumberFormat="1" applyFont="1" applyProtection="1">
      <protection/>
    </xf>
    <xf numFmtId="0" fontId="10" fillId="0" borderId="0" xfId="23" applyBorder="1" applyProtection="1">
      <alignment/>
      <protection/>
    </xf>
    <xf numFmtId="0" fontId="10" fillId="0" borderId="15" xfId="23" applyBorder="1" applyProtection="1">
      <alignment/>
      <protection/>
    </xf>
    <xf numFmtId="0" fontId="10" fillId="0" borderId="61" xfId="23" applyBorder="1" applyProtection="1">
      <alignment/>
      <protection/>
    </xf>
    <xf numFmtId="0" fontId="10" fillId="5" borderId="96" xfId="23" applyFill="1" applyBorder="1" applyProtection="1">
      <alignment/>
      <protection/>
    </xf>
    <xf numFmtId="0" fontId="10" fillId="5" borderId="97" xfId="23" applyFill="1" applyBorder="1" applyProtection="1">
      <alignment/>
      <protection/>
    </xf>
    <xf numFmtId="0" fontId="10" fillId="5" borderId="98" xfId="23" applyFill="1" applyBorder="1" applyProtection="1">
      <alignment/>
      <protection/>
    </xf>
    <xf numFmtId="0" fontId="6" fillId="0" borderId="69" xfId="23" applyFont="1" applyBorder="1" applyAlignment="1" applyProtection="1">
      <alignment vertical="center"/>
      <protection/>
    </xf>
    <xf numFmtId="0" fontId="24" fillId="0" borderId="69" xfId="23" applyFont="1" applyBorder="1" applyAlignment="1" applyProtection="1">
      <alignment vertical="center"/>
      <protection/>
    </xf>
    <xf numFmtId="0" fontId="6" fillId="0" borderId="56" xfId="23" applyFont="1" applyBorder="1" applyProtection="1">
      <alignment/>
      <protection/>
    </xf>
    <xf numFmtId="0" fontId="3" fillId="0" borderId="10" xfId="23" applyFont="1" applyBorder="1" applyProtection="1">
      <alignment/>
      <protection/>
    </xf>
    <xf numFmtId="0" fontId="9" fillId="0" borderId="61" xfId="23" applyFont="1" applyBorder="1" applyAlignment="1" applyProtection="1">
      <alignment horizontal="left" vertical="center" readingOrder="1"/>
      <protection/>
    </xf>
    <xf numFmtId="0" fontId="20" fillId="0" borderId="61" xfId="23" applyFont="1" applyBorder="1" applyProtection="1">
      <alignment/>
      <protection/>
    </xf>
    <xf numFmtId="0" fontId="18" fillId="0" borderId="63" xfId="23" applyFont="1" applyBorder="1" applyProtection="1">
      <alignment/>
      <protection/>
    </xf>
    <xf numFmtId="0" fontId="3" fillId="0" borderId="99" xfId="23" applyFont="1" applyBorder="1" applyAlignment="1" applyProtection="1">
      <alignment horizontal="center" vertical="center" readingOrder="1"/>
      <protection locked="0"/>
    </xf>
    <xf numFmtId="0" fontId="3" fillId="0" borderId="100" xfId="23" applyFont="1" applyBorder="1" applyAlignment="1" applyProtection="1">
      <alignment horizontal="center" vertical="center" readingOrder="1"/>
      <protection locked="0"/>
    </xf>
    <xf numFmtId="0" fontId="3" fillId="0" borderId="101" xfId="23" applyFont="1" applyBorder="1" applyAlignment="1" applyProtection="1">
      <alignment horizontal="center" vertical="center" readingOrder="1"/>
      <protection locked="0"/>
    </xf>
    <xf numFmtId="0" fontId="3" fillId="0" borderId="50" xfId="23" applyFont="1" applyFill="1" applyBorder="1" applyProtection="1">
      <alignment/>
      <protection/>
    </xf>
    <xf numFmtId="0" fontId="3" fillId="0" borderId="96" xfId="23" applyFont="1" applyBorder="1" applyAlignment="1" applyProtection="1">
      <alignment horizontal="center" vertical="center" readingOrder="1"/>
      <protection locked="0"/>
    </xf>
    <xf numFmtId="0" fontId="3" fillId="0" borderId="97" xfId="23" applyFont="1" applyBorder="1" applyAlignment="1" applyProtection="1">
      <alignment horizontal="center" vertical="center" readingOrder="1"/>
      <protection locked="0"/>
    </xf>
    <xf numFmtId="0" fontId="3" fillId="0" borderId="98" xfId="23" applyFont="1" applyBorder="1" applyAlignment="1" applyProtection="1">
      <alignment horizontal="center" vertical="center" readingOrder="1"/>
      <protection locked="0"/>
    </xf>
    <xf numFmtId="0" fontId="3" fillId="0" borderId="39" xfId="23" applyFont="1" applyBorder="1" applyAlignment="1" applyProtection="1">
      <alignment horizontal="center" vertical="center" readingOrder="1"/>
      <protection/>
    </xf>
    <xf numFmtId="0" fontId="3" fillId="0" borderId="40" xfId="23" applyFont="1" applyBorder="1" applyAlignment="1" applyProtection="1">
      <alignment horizontal="center" vertical="center" readingOrder="1"/>
      <protection/>
    </xf>
    <xf numFmtId="0" fontId="3" fillId="0" borderId="41" xfId="23" applyFont="1" applyBorder="1" applyAlignment="1" applyProtection="1">
      <alignment horizontal="center" vertical="center" readingOrder="1"/>
      <protection/>
    </xf>
    <xf numFmtId="0" fontId="4" fillId="5" borderId="96" xfId="23" applyFont="1" applyFill="1" applyBorder="1" applyProtection="1">
      <alignment/>
      <protection/>
    </xf>
    <xf numFmtId="0" fontId="4" fillId="5" borderId="97" xfId="23" applyFont="1" applyFill="1" applyBorder="1" applyProtection="1">
      <alignment/>
      <protection/>
    </xf>
    <xf numFmtId="0" fontId="3" fillId="5" borderId="96" xfId="23" applyFont="1" applyFill="1" applyBorder="1" applyAlignment="1" applyProtection="1">
      <alignment horizontal="center" vertical="center" readingOrder="1"/>
      <protection/>
    </xf>
    <xf numFmtId="0" fontId="3" fillId="5" borderId="97" xfId="23" applyFont="1" applyFill="1" applyBorder="1" applyAlignment="1" applyProtection="1">
      <alignment horizontal="center" vertical="center" readingOrder="1"/>
      <protection/>
    </xf>
    <xf numFmtId="0" fontId="3" fillId="5" borderId="98" xfId="23" applyFont="1" applyFill="1" applyBorder="1" applyAlignment="1" applyProtection="1">
      <alignment horizontal="center" vertical="center" readingOrder="1"/>
      <protection/>
    </xf>
    <xf numFmtId="166" fontId="10" fillId="0" borderId="56" xfId="23" applyNumberFormat="1" applyFont="1" applyFill="1" applyBorder="1" applyAlignment="1" applyProtection="1">
      <alignment vertical="top"/>
      <protection/>
    </xf>
    <xf numFmtId="166" fontId="10" fillId="0" borderId="57" xfId="23" applyNumberFormat="1" applyFont="1" applyFill="1" applyBorder="1" applyAlignment="1" applyProtection="1">
      <alignment vertical="top"/>
      <protection/>
    </xf>
    <xf numFmtId="0" fontId="27" fillId="0" borderId="0" xfId="0" applyFont="1" applyFill="1" applyProtection="1">
      <protection/>
    </xf>
    <xf numFmtId="9" fontId="0" fillId="0" borderId="0" xfId="0" applyNumberFormat="1" applyFill="1" applyBorder="1" applyProtection="1">
      <protection/>
    </xf>
    <xf numFmtId="9" fontId="0" fillId="0" borderId="52" xfId="24" applyNumberFormat="1" applyFont="1" applyBorder="1" applyAlignment="1" applyProtection="1">
      <alignment vertical="top"/>
      <protection/>
    </xf>
    <xf numFmtId="0" fontId="0" fillId="0" borderId="0" xfId="0" applyNumberFormat="1"/>
    <xf numFmtId="0" fontId="0" fillId="13" borderId="0" xfId="0" applyFill="1"/>
    <xf numFmtId="0" fontId="0" fillId="14" borderId="0" xfId="0" applyFill="1"/>
    <xf numFmtId="0" fontId="4" fillId="0" borderId="0" xfId="20" applyFont="1" applyAlignment="1" applyProtection="1">
      <alignment horizontal="right" vertical="center"/>
      <protection/>
    </xf>
    <xf numFmtId="165" fontId="4" fillId="0" borderId="0" xfId="20" applyNumberFormat="1" applyFont="1" applyAlignment="1" applyProtection="1">
      <alignment vertical="center" wrapText="1"/>
      <protection/>
    </xf>
    <xf numFmtId="0" fontId="3" fillId="0" borderId="0" xfId="20" applyFont="1" applyAlignment="1" applyProtection="1">
      <alignment wrapText="1"/>
      <protection/>
    </xf>
    <xf numFmtId="0" fontId="5" fillId="0" borderId="0" xfId="20" applyFont="1" applyAlignment="1" applyProtection="1">
      <alignment vertical="top" wrapText="1"/>
      <protection/>
    </xf>
    <xf numFmtId="0" fontId="26" fillId="15" borderId="102" xfId="0" applyFont="1" applyFill="1" applyBorder="1" applyAlignment="1" applyProtection="1">
      <alignment horizontal="center" vertical="center" wrapText="1"/>
      <protection/>
    </xf>
    <xf numFmtId="0" fontId="26" fillId="15" borderId="103" xfId="0" applyFont="1" applyFill="1" applyBorder="1" applyAlignment="1" applyProtection="1">
      <alignment horizontal="center" vertical="center" wrapText="1"/>
      <protection/>
    </xf>
    <xf numFmtId="0" fontId="25" fillId="15" borderId="104" xfId="0" applyFont="1" applyFill="1" applyBorder="1" applyAlignment="1" applyProtection="1">
      <alignment horizontal="center" vertical="center" wrapText="1"/>
      <protection/>
    </xf>
    <xf numFmtId="0" fontId="25" fillId="15" borderId="105" xfId="0" applyFont="1" applyFill="1" applyBorder="1" applyAlignment="1" applyProtection="1">
      <alignment horizontal="center" vertical="center" wrapText="1"/>
      <protection/>
    </xf>
    <xf numFmtId="0" fontId="25" fillId="0" borderId="104" xfId="0" applyFont="1" applyBorder="1" applyAlignment="1" applyProtection="1">
      <alignment horizontal="center" vertical="center" wrapText="1"/>
      <protection/>
    </xf>
    <xf numFmtId="0" fontId="25" fillId="0" borderId="105" xfId="0" applyFont="1" applyBorder="1" applyAlignment="1" applyProtection="1">
      <alignment horizontal="center" vertical="center" wrapText="1"/>
      <protection/>
    </xf>
    <xf numFmtId="0" fontId="8" fillId="0" borderId="0" xfId="0" applyFont="1" applyAlignment="1" applyProtection="1">
      <alignment/>
      <protection/>
    </xf>
    <xf numFmtId="0" fontId="28" fillId="0" borderId="2" xfId="0" applyFont="1" applyFill="1" applyBorder="1" applyProtection="1">
      <protection/>
    </xf>
    <xf numFmtId="0" fontId="28" fillId="0" borderId="71" xfId="0" applyFont="1" applyFill="1" applyBorder="1" applyProtection="1">
      <protection/>
    </xf>
    <xf numFmtId="0" fontId="28" fillId="0" borderId="1" xfId="0" applyFont="1" applyFill="1" applyBorder="1" applyProtection="1">
      <protection/>
    </xf>
    <xf numFmtId="0" fontId="29" fillId="0" borderId="0" xfId="0" applyFont="1" applyFill="1" applyProtection="1">
      <protection/>
    </xf>
    <xf numFmtId="0" fontId="30" fillId="0" borderId="0" xfId="0" applyFont="1" applyFill="1" applyProtection="1">
      <protection/>
    </xf>
    <xf numFmtId="0" fontId="31" fillId="2" borderId="0" xfId="22" applyFont="1" applyFill="1" applyProtection="1">
      <alignment/>
      <protection/>
    </xf>
    <xf numFmtId="0" fontId="32" fillId="0" borderId="0" xfId="0" applyFont="1" applyFill="1" applyProtection="1">
      <protection/>
    </xf>
    <xf numFmtId="9" fontId="31" fillId="2" borderId="0" xfId="22" applyNumberFormat="1" applyFont="1" applyFill="1" applyProtection="1">
      <alignment/>
      <protection/>
    </xf>
    <xf numFmtId="0" fontId="31" fillId="2" borderId="0" xfId="22" applyFont="1" applyFill="1" applyAlignment="1" applyProtection="1">
      <alignment horizontal="left"/>
      <protection/>
    </xf>
    <xf numFmtId="0" fontId="10" fillId="0" borderId="0" xfId="23" applyNumberFormat="1" applyAlignment="1" applyProtection="1">
      <alignment horizontal="right" vertical="top"/>
      <protection/>
    </xf>
    <xf numFmtId="166" fontId="10" fillId="0" borderId="59" xfId="23" applyNumberFormat="1" applyFont="1" applyFill="1" applyBorder="1" applyAlignment="1" applyProtection="1">
      <alignment vertical="top"/>
      <protection/>
    </xf>
    <xf numFmtId="166" fontId="10" fillId="0" borderId="69" xfId="23" applyNumberFormat="1" applyFont="1" applyFill="1" applyBorder="1" applyAlignment="1" applyProtection="1">
      <alignment vertical="top"/>
      <protection/>
    </xf>
    <xf numFmtId="166" fontId="10" fillId="0" borderId="70" xfId="23" applyNumberFormat="1" applyFont="1" applyFill="1" applyBorder="1" applyAlignment="1" applyProtection="1">
      <alignment vertical="top"/>
      <protection/>
    </xf>
    <xf numFmtId="166" fontId="10" fillId="0" borderId="62" xfId="23" applyNumberFormat="1" applyFill="1" applyBorder="1" applyAlignment="1" applyProtection="1">
      <alignment vertical="top" wrapText="1"/>
      <protection/>
    </xf>
    <xf numFmtId="166" fontId="10" fillId="0" borderId="61" xfId="23" applyNumberFormat="1" applyFill="1" applyBorder="1" applyAlignment="1" applyProtection="1">
      <alignment vertical="top" wrapText="1"/>
      <protection/>
    </xf>
    <xf numFmtId="166" fontId="10" fillId="0" borderId="76" xfId="23" applyNumberFormat="1" applyFill="1" applyBorder="1" applyAlignment="1" applyProtection="1">
      <alignment vertical="top" wrapText="1"/>
      <protection/>
    </xf>
    <xf numFmtId="166" fontId="10" fillId="0" borderId="0" xfId="23" applyNumberFormat="1" applyFill="1" applyBorder="1" applyAlignment="1" applyProtection="1">
      <alignment vertical="top" wrapText="1"/>
      <protection/>
    </xf>
    <xf numFmtId="166" fontId="21" fillId="0" borderId="0" xfId="23" applyNumberFormat="1" applyFont="1" applyAlignment="1" applyProtection="1">
      <alignment vertical="top"/>
      <protection/>
    </xf>
    <xf numFmtId="0" fontId="15" fillId="0" borderId="90" xfId="23" applyFont="1" applyBorder="1" applyAlignment="1" applyProtection="1">
      <alignment horizontal="center" vertical="top" wrapText="1"/>
      <protection/>
    </xf>
    <xf numFmtId="0" fontId="15" fillId="0" borderId="9" xfId="23" applyFont="1" applyBorder="1" applyAlignment="1" applyProtection="1">
      <alignment horizontal="center" vertical="top" wrapText="1"/>
      <protection/>
    </xf>
    <xf numFmtId="0" fontId="15" fillId="0" borderId="1" xfId="23" applyFont="1" applyBorder="1" applyAlignment="1" applyProtection="1">
      <alignment horizontal="center" vertical="top" wrapText="1"/>
      <protection/>
    </xf>
    <xf numFmtId="0" fontId="15" fillId="0" borderId="8" xfId="23" applyFont="1" applyBorder="1" applyAlignment="1" applyProtection="1">
      <alignment horizontal="center" vertical="top" wrapText="1"/>
      <protection/>
    </xf>
    <xf numFmtId="0" fontId="15" fillId="0" borderId="87" xfId="23" applyFont="1" applyBorder="1" applyAlignment="1" applyProtection="1">
      <alignment horizontal="center" vertical="top" wrapText="1"/>
      <protection/>
    </xf>
    <xf numFmtId="0" fontId="15" fillId="0" borderId="8" xfId="23" applyFont="1" applyFill="1" applyBorder="1" applyAlignment="1" applyProtection="1">
      <alignment horizontal="center" vertical="top" wrapText="1"/>
      <protection/>
    </xf>
    <xf numFmtId="0" fontId="15" fillId="0" borderId="86" xfId="23" applyFont="1" applyBorder="1" applyAlignment="1" applyProtection="1">
      <alignment horizontal="center" vertical="top" wrapText="1"/>
      <protection/>
    </xf>
    <xf numFmtId="0" fontId="10" fillId="0" borderId="8" xfId="23" applyBorder="1" applyAlignment="1" applyProtection="1">
      <alignment horizontal="center" vertical="top" wrapText="1"/>
      <protection/>
    </xf>
    <xf numFmtId="0" fontId="10" fillId="0" borderId="8" xfId="23" applyBorder="1" applyAlignment="1" applyProtection="1">
      <alignment horizontal="center" vertical="top" wrapText="1"/>
      <protection locked="0"/>
    </xf>
    <xf numFmtId="0" fontId="10" fillId="0" borderId="86" xfId="23" applyBorder="1" applyAlignment="1" applyProtection="1">
      <alignment horizontal="center" vertical="top" wrapText="1"/>
      <protection/>
    </xf>
    <xf numFmtId="0" fontId="10" fillId="0" borderId="86" xfId="23" applyBorder="1" applyAlignment="1" applyProtection="1">
      <alignment horizontal="center" vertical="top" wrapText="1"/>
      <protection locked="0"/>
    </xf>
    <xf numFmtId="0" fontId="10" fillId="0" borderId="87" xfId="23" applyBorder="1" applyAlignment="1" applyProtection="1">
      <alignment horizontal="center" vertical="top" wrapText="1"/>
      <protection/>
    </xf>
    <xf numFmtId="0" fontId="10" fillId="0" borderId="87" xfId="23" applyBorder="1" applyAlignment="1" applyProtection="1">
      <alignment horizontal="center" vertical="top" wrapText="1"/>
      <protection locked="0"/>
    </xf>
    <xf numFmtId="0" fontId="10" fillId="0" borderId="9" xfId="23" applyBorder="1" applyAlignment="1" applyProtection="1">
      <alignment horizontal="center" vertical="top" wrapText="1"/>
      <protection locked="0"/>
    </xf>
    <xf numFmtId="0" fontId="10" fillId="0" borderId="90" xfId="23" applyBorder="1" applyAlignment="1" applyProtection="1">
      <alignment horizontal="center" vertical="top" wrapText="1"/>
      <protection locked="0"/>
    </xf>
    <xf numFmtId="0" fontId="10" fillId="0" borderId="5" xfId="23" applyBorder="1" applyAlignment="1" applyProtection="1">
      <alignment horizontal="center" vertical="top" wrapText="1"/>
      <protection locked="0"/>
    </xf>
    <xf numFmtId="0" fontId="10" fillId="0" borderId="7" xfId="23" applyBorder="1" applyAlignment="1" applyProtection="1">
      <alignment horizontal="center" vertical="top" wrapText="1"/>
      <protection locked="0"/>
    </xf>
    <xf numFmtId="0" fontId="10" fillId="0" borderId="90" xfId="23" applyBorder="1" applyAlignment="1" applyProtection="1">
      <alignment horizontal="center" vertical="top" wrapText="1"/>
      <protection/>
    </xf>
    <xf numFmtId="9" fontId="15" fillId="0" borderId="0" xfId="23" applyNumberFormat="1" applyFont="1" applyFill="1" applyAlignment="1" applyProtection="1">
      <alignment horizontal="right" vertical="top"/>
      <protection/>
    </xf>
    <xf numFmtId="0" fontId="28" fillId="0" borderId="0" xfId="0" applyFont="1" applyFill="1" applyBorder="1" applyProtection="1">
      <protection/>
    </xf>
    <xf numFmtId="1" fontId="28" fillId="0" borderId="0" xfId="0" applyNumberFormat="1" applyFont="1" applyFill="1" applyBorder="1" applyProtection="1">
      <protection/>
    </xf>
    <xf numFmtId="9" fontId="28" fillId="0" borderId="0" xfId="0" applyNumberFormat="1" applyFont="1" applyFill="1" applyBorder="1" applyProtection="1">
      <protection/>
    </xf>
    <xf numFmtId="0" fontId="8" fillId="0" borderId="0" xfId="0" applyFont="1" applyAlignment="1" applyProtection="1">
      <alignment wrapText="1"/>
      <protection/>
    </xf>
    <xf numFmtId="0" fontId="3" fillId="0" borderId="0" xfId="20" applyFont="1" applyAlignment="1" applyProtection="1">
      <alignment vertical="top" wrapText="1"/>
      <protection/>
    </xf>
    <xf numFmtId="0" fontId="5" fillId="0" borderId="0" xfId="20" applyFont="1" applyAlignment="1" applyProtection="1">
      <alignment vertical="top"/>
      <protection/>
    </xf>
    <xf numFmtId="166" fontId="28" fillId="0" borderId="0" xfId="0" applyNumberFormat="1" applyFont="1" applyFill="1" applyBorder="1" applyProtection="1">
      <protection/>
    </xf>
    <xf numFmtId="0" fontId="1" fillId="0" borderId="6" xfId="20" applyBorder="1" applyProtection="1">
      <alignment/>
      <protection locked="0"/>
    </xf>
    <xf numFmtId="0" fontId="0" fillId="0" borderId="0" xfId="0" applyAlignment="1" applyProtection="1">
      <alignment wrapText="1"/>
      <protection/>
    </xf>
    <xf numFmtId="0" fontId="4" fillId="0" borderId="0" xfId="20" applyFont="1" applyAlignment="1" applyProtection="1">
      <alignment vertical="top" wrapText="1"/>
      <protection/>
    </xf>
    <xf numFmtId="0" fontId="0" fillId="0" borderId="0" xfId="0" applyAlignment="1" applyProtection="1">
      <alignment horizontal="left" vertical="top" wrapText="1"/>
      <protection/>
    </xf>
    <xf numFmtId="0" fontId="3" fillId="0" borderId="0" xfId="23" applyFont="1" applyAlignment="1" applyProtection="1">
      <alignment horizontal="left"/>
      <protection/>
    </xf>
    <xf numFmtId="0" fontId="12" fillId="0" borderId="16" xfId="23" applyFont="1" applyFill="1" applyBorder="1" applyAlignment="1" applyProtection="1">
      <alignment horizontal="center" vertical="top" wrapText="1"/>
      <protection/>
    </xf>
    <xf numFmtId="0" fontId="8" fillId="0" borderId="0" xfId="0" applyFont="1" applyAlignment="1">
      <alignment vertical="center" wrapText="1"/>
    </xf>
    <xf numFmtId="0" fontId="28" fillId="0" borderId="2" xfId="0" applyFont="1" applyFill="1" applyBorder="1" applyAlignment="1" applyProtection="1">
      <alignment horizontal="right"/>
      <protection/>
    </xf>
    <xf numFmtId="0" fontId="28" fillId="0" borderId="71" xfId="0" applyFont="1" applyFill="1" applyBorder="1" applyAlignment="1" applyProtection="1">
      <alignment horizontal="right"/>
      <protection/>
    </xf>
    <xf numFmtId="0" fontId="0" fillId="0" borderId="0" xfId="0" applyFill="1" applyAlignment="1" applyProtection="1">
      <alignment horizontal="right"/>
      <protection/>
    </xf>
    <xf numFmtId="9" fontId="28" fillId="0" borderId="1" xfId="0" applyNumberFormat="1" applyFont="1" applyFill="1" applyBorder="1" applyAlignment="1" applyProtection="1">
      <alignment horizontal="right"/>
      <protection/>
    </xf>
    <xf numFmtId="9" fontId="28" fillId="0" borderId="0" xfId="0" applyNumberFormat="1" applyFont="1" applyFill="1" applyBorder="1" applyAlignment="1" applyProtection="1">
      <alignment horizontal="right"/>
      <protection/>
    </xf>
    <xf numFmtId="0" fontId="10" fillId="9" borderId="0" xfId="23" applyFill="1" applyProtection="1">
      <alignment/>
      <protection/>
    </xf>
    <xf numFmtId="0" fontId="8" fillId="0" borderId="0" xfId="0" applyFont="1" applyAlignment="1" applyProtection="1">
      <alignment vertical="center" wrapText="1"/>
      <protection/>
    </xf>
    <xf numFmtId="0" fontId="0" fillId="0" borderId="0" xfId="0" applyAlignment="1" applyProtection="1">
      <alignment wrapText="1"/>
      <protection/>
    </xf>
    <xf numFmtId="0" fontId="4" fillId="0" borderId="0" xfId="20" applyFont="1" applyAlignment="1" applyProtection="1">
      <alignmen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Alignment="1">
      <alignment vertical="center" wrapText="1"/>
    </xf>
    <xf numFmtId="0" fontId="0" fillId="0" borderId="0" xfId="0" applyAlignment="1">
      <alignment wrapText="1"/>
    </xf>
    <xf numFmtId="0" fontId="8" fillId="0" borderId="0" xfId="0" applyFont="1" applyAlignment="1">
      <alignment horizontal="left" vertical="top" wrapText="1"/>
    </xf>
    <xf numFmtId="0" fontId="0" fillId="0" borderId="0" xfId="0" applyAlignment="1">
      <alignment horizontal="left" vertical="top" wrapText="1"/>
    </xf>
    <xf numFmtId="0" fontId="1" fillId="0" borderId="73" xfId="20" applyBorder="1" applyAlignment="1" applyProtection="1">
      <alignment horizontal="left"/>
      <protection locked="0"/>
    </xf>
    <xf numFmtId="0" fontId="1" fillId="0" borderId="66" xfId="20" applyBorder="1" applyAlignment="1" applyProtection="1">
      <alignment horizontal="left"/>
      <protection locked="0"/>
    </xf>
    <xf numFmtId="0" fontId="1" fillId="0" borderId="106" xfId="20" applyBorder="1" applyAlignment="1" applyProtection="1">
      <alignment horizontal="left"/>
      <protection locked="0"/>
    </xf>
    <xf numFmtId="0" fontId="1" fillId="0" borderId="77" xfId="20" applyBorder="1" applyAlignment="1" applyProtection="1">
      <alignment horizontal="left"/>
      <protection locked="0"/>
    </xf>
    <xf numFmtId="0" fontId="1" fillId="0" borderId="78" xfId="20" applyBorder="1" applyAlignment="1" applyProtection="1">
      <alignment horizontal="left"/>
      <protection locked="0"/>
    </xf>
    <xf numFmtId="0" fontId="1" fillId="0" borderId="107" xfId="20" applyBorder="1" applyAlignment="1" applyProtection="1">
      <alignment horizontal="left"/>
      <protection locked="0"/>
    </xf>
    <xf numFmtId="0" fontId="1" fillId="0" borderId="83" xfId="20" applyBorder="1" applyAlignment="1" applyProtection="1">
      <alignment horizontal="left"/>
      <protection locked="0"/>
    </xf>
    <xf numFmtId="0" fontId="1" fillId="0" borderId="108" xfId="20" applyBorder="1" applyAlignment="1" applyProtection="1">
      <alignment horizontal="left"/>
      <protection locked="0"/>
    </xf>
    <xf numFmtId="0" fontId="1" fillId="0" borderId="80" xfId="20" applyBorder="1" applyAlignment="1" applyProtection="1">
      <alignment horizontal="left"/>
      <protection locked="0"/>
    </xf>
    <xf numFmtId="0" fontId="0" fillId="0" borderId="78" xfId="0" applyBorder="1" applyAlignment="1" applyProtection="1">
      <alignment horizontal="left"/>
      <protection locked="0"/>
    </xf>
    <xf numFmtId="0" fontId="0" fillId="0" borderId="107" xfId="0" applyBorder="1" applyAlignment="1" applyProtection="1">
      <alignment horizontal="left"/>
      <protection locked="0"/>
    </xf>
    <xf numFmtId="166" fontId="7" fillId="0" borderId="0" xfId="0" applyNumberFormat="1" applyFont="1" applyBorder="1" applyAlignment="1" applyProtection="1">
      <alignment/>
      <protection/>
    </xf>
    <xf numFmtId="166" fontId="0" fillId="0" borderId="0" xfId="0" applyNumberFormat="1" applyBorder="1" applyAlignment="1" applyProtection="1">
      <alignment/>
      <protection/>
    </xf>
    <xf numFmtId="0" fontId="22" fillId="0" borderId="0" xfId="23" applyFont="1" applyAlignment="1" applyProtection="1">
      <alignment wrapText="1"/>
      <protection/>
    </xf>
    <xf numFmtId="0" fontId="23" fillId="0" borderId="0" xfId="0" applyFont="1" applyAlignment="1" applyProtection="1">
      <alignment wrapText="1"/>
      <protection/>
    </xf>
    <xf numFmtId="0" fontId="3" fillId="0" borderId="0" xfId="23" applyFont="1" applyAlignment="1" applyProtection="1">
      <alignment horizontal="left"/>
      <protection/>
    </xf>
    <xf numFmtId="0" fontId="12" fillId="0" borderId="53" xfId="23" applyFont="1" applyFill="1" applyBorder="1" applyAlignment="1" applyProtection="1">
      <alignment horizontal="center" vertical="top" wrapText="1"/>
      <protection/>
    </xf>
    <xf numFmtId="0" fontId="12" fillId="0" borderId="16" xfId="23" applyFont="1" applyFill="1" applyBorder="1" applyAlignment="1" applyProtection="1">
      <alignment horizontal="center" vertical="top" wrapText="1"/>
      <protection/>
    </xf>
    <xf numFmtId="0" fontId="12" fillId="0" borderId="17" xfId="23" applyFont="1" applyFill="1" applyBorder="1" applyAlignment="1" applyProtection="1">
      <alignment horizontal="center" vertical="top" wrapText="1"/>
      <protection/>
    </xf>
    <xf numFmtId="0" fontId="10" fillId="0" borderId="92" xfId="23" applyBorder="1" applyAlignment="1" applyProtection="1">
      <alignment horizontal="center" vertical="center"/>
      <protection/>
    </xf>
    <xf numFmtId="0" fontId="10" fillId="0" borderId="47" xfId="23" applyBorder="1" applyAlignment="1" applyProtection="1">
      <alignment horizontal="center" vertical="center"/>
      <protection/>
    </xf>
    <xf numFmtId="0" fontId="10" fillId="0" borderId="93" xfId="23" applyBorder="1" applyAlignment="1" applyProtection="1">
      <alignment horizontal="center" vertical="center"/>
      <protection/>
    </xf>
    <xf numFmtId="0" fontId="10" fillId="0" borderId="109" xfId="23" applyBorder="1" applyAlignment="1" applyProtection="1">
      <alignment horizontal="center" vertical="center"/>
      <protection/>
    </xf>
    <xf numFmtId="0" fontId="10" fillId="9" borderId="57" xfId="23" applyFill="1" applyBorder="1" applyAlignment="1" applyProtection="1">
      <alignment horizontal="left" vertical="top" wrapText="1"/>
      <protection/>
    </xf>
    <xf numFmtId="0" fontId="10" fillId="9" borderId="70" xfId="23" applyFill="1" applyBorder="1" applyAlignment="1" applyProtection="1">
      <alignment horizontal="left" vertical="top" wrapText="1"/>
      <protection/>
    </xf>
    <xf numFmtId="0" fontId="10" fillId="0" borderId="48" xfId="23" applyBorder="1" applyAlignment="1" applyProtection="1">
      <alignment horizontal="center" vertical="center"/>
      <protection/>
    </xf>
    <xf numFmtId="0" fontId="10" fillId="0" borderId="95" xfId="23" applyBorder="1" applyAlignment="1" applyProtection="1">
      <alignment horizontal="center" vertical="center"/>
      <protection/>
    </xf>
    <xf numFmtId="0" fontId="10" fillId="9" borderId="57" xfId="23" applyFill="1" applyBorder="1" applyAlignment="1" applyProtection="1">
      <alignment horizontal="left" wrapText="1"/>
      <protection/>
    </xf>
    <xf numFmtId="0" fontId="10" fillId="9" borderId="60" xfId="23" applyFill="1" applyBorder="1" applyAlignment="1" applyProtection="1">
      <alignment horizontal="left" wrapText="1"/>
      <protection/>
    </xf>
    <xf numFmtId="0" fontId="10" fillId="0" borderId="110" xfId="23" applyBorder="1" applyAlignment="1" applyProtection="1">
      <alignment horizontal="center" vertical="center"/>
      <protection/>
    </xf>
    <xf numFmtId="0" fontId="10" fillId="0" borderId="111" xfId="23" applyBorder="1" applyAlignment="1" applyProtection="1">
      <alignment horizontal="center" vertical="center"/>
      <protection/>
    </xf>
    <xf numFmtId="0" fontId="16" fillId="9" borderId="57" xfId="23" applyFont="1" applyFill="1" applyBorder="1" applyAlignment="1" applyProtection="1">
      <alignment horizontal="left" vertical="top" wrapText="1"/>
      <protection/>
    </xf>
    <xf numFmtId="0" fontId="16" fillId="9" borderId="60" xfId="23" applyFont="1" applyFill="1" applyBorder="1" applyAlignment="1" applyProtection="1">
      <alignment horizontal="left" vertical="top" wrapText="1"/>
      <protection/>
    </xf>
    <xf numFmtId="0" fontId="10" fillId="0" borderId="92" xfId="23" applyFill="1" applyBorder="1" applyAlignment="1" applyProtection="1">
      <alignment horizontal="center" vertical="center"/>
      <protection/>
    </xf>
    <xf numFmtId="0" fontId="10" fillId="0" borderId="48" xfId="23" applyFill="1" applyBorder="1" applyAlignment="1" applyProtection="1">
      <alignment horizontal="center" vertical="center"/>
      <protection/>
    </xf>
    <xf numFmtId="0" fontId="15" fillId="9" borderId="57" xfId="23" applyFont="1" applyFill="1" applyBorder="1" applyAlignment="1" applyProtection="1">
      <alignment horizontal="left" vertical="top" wrapText="1"/>
      <protection/>
    </xf>
    <xf numFmtId="0" fontId="15" fillId="9" borderId="70" xfId="23" applyFont="1" applyFill="1" applyBorder="1" applyAlignment="1" applyProtection="1">
      <alignment horizontal="left" vertical="top" wrapText="1"/>
      <protection/>
    </xf>
    <xf numFmtId="0" fontId="10" fillId="0" borderId="112" xfId="23" applyBorder="1" applyAlignment="1" applyProtection="1">
      <alignment horizontal="center" vertical="center"/>
      <protection/>
    </xf>
    <xf numFmtId="0" fontId="10" fillId="0" borderId="92" xfId="23" applyBorder="1" applyAlignment="1">
      <alignment horizontal="center" vertical="center"/>
      <protection/>
    </xf>
    <xf numFmtId="0" fontId="10" fillId="0" borderId="48" xfId="23" applyBorder="1" applyAlignment="1">
      <alignment horizontal="center" vertical="center"/>
      <protection/>
    </xf>
    <xf numFmtId="0" fontId="10" fillId="0" borderId="93" xfId="23" applyBorder="1" applyAlignment="1">
      <alignment horizontal="center" vertical="center"/>
      <protection/>
    </xf>
    <xf numFmtId="0" fontId="10" fillId="0" borderId="95" xfId="23" applyBorder="1" applyAlignment="1">
      <alignment horizontal="center" vertical="center"/>
      <protection/>
    </xf>
    <xf numFmtId="0" fontId="10" fillId="0" borderId="47" xfId="23" applyBorder="1" applyAlignment="1">
      <alignment horizontal="center" vertical="center"/>
      <protection/>
    </xf>
    <xf numFmtId="0" fontId="10" fillId="0" borderId="109" xfId="23" applyBorder="1" applyAlignment="1">
      <alignment horizontal="center" vertical="center"/>
      <protection/>
    </xf>
    <xf numFmtId="0" fontId="10" fillId="0" borderId="110" xfId="23" applyBorder="1" applyAlignment="1">
      <alignment horizontal="center" vertical="center"/>
      <protection/>
    </xf>
    <xf numFmtId="0" fontId="10" fillId="0" borderId="112" xfId="23" applyBorder="1" applyAlignment="1">
      <alignment horizontal="center" vertical="center"/>
      <protection/>
    </xf>
    <xf numFmtId="0" fontId="10" fillId="0" borderId="111" xfId="23" applyBorder="1" applyAlignment="1">
      <alignment horizontal="center" vertical="center"/>
      <protection/>
    </xf>
    <xf numFmtId="0" fontId="10" fillId="9" borderId="57" xfId="23" applyFill="1" applyBorder="1" applyAlignment="1">
      <alignment horizontal="left" vertical="top" wrapText="1"/>
      <protection/>
    </xf>
    <xf numFmtId="0" fontId="10" fillId="9" borderId="70" xfId="23" applyFill="1" applyBorder="1" applyAlignment="1">
      <alignment horizontal="left" vertical="top" wrapText="1"/>
      <protection/>
    </xf>
    <xf numFmtId="0" fontId="10" fillId="0" borderId="92" xfId="23" applyFill="1" applyBorder="1" applyAlignment="1">
      <alignment horizontal="center" vertical="center"/>
      <protection/>
    </xf>
    <xf numFmtId="0" fontId="10" fillId="0" borderId="48" xfId="23" applyFill="1" applyBorder="1" applyAlignment="1">
      <alignment horizontal="center" vertical="center"/>
      <protection/>
    </xf>
    <xf numFmtId="0" fontId="15" fillId="9" borderId="57" xfId="23" applyFont="1" applyFill="1" applyBorder="1" applyAlignment="1">
      <alignment horizontal="left" vertical="top" wrapText="1"/>
      <protection/>
    </xf>
    <xf numFmtId="0" fontId="15" fillId="9" borderId="70" xfId="23" applyFont="1" applyFill="1" applyBorder="1" applyAlignment="1">
      <alignment horizontal="left" vertical="top" wrapText="1"/>
      <protection/>
    </xf>
    <xf numFmtId="0" fontId="10" fillId="9" borderId="60" xfId="23" applyFill="1" applyBorder="1" applyAlignment="1">
      <alignment horizontal="left" vertical="top" wrapText="1"/>
      <protection/>
    </xf>
    <xf numFmtId="0" fontId="16" fillId="9" borderId="57" xfId="23" applyFont="1" applyFill="1" applyBorder="1" applyAlignment="1">
      <alignment horizontal="left" vertical="top" wrapText="1"/>
      <protection/>
    </xf>
    <xf numFmtId="0" fontId="16" fillId="9" borderId="60" xfId="23" applyFont="1" applyFill="1" applyBorder="1" applyAlignment="1">
      <alignment horizontal="left" vertical="top" wrapText="1"/>
      <protection/>
    </xf>
    <xf numFmtId="0" fontId="12" fillId="0" borderId="53" xfId="23" applyFont="1" applyFill="1" applyBorder="1" applyAlignment="1">
      <alignment horizontal="center" vertical="top" wrapText="1"/>
      <protection/>
    </xf>
    <xf numFmtId="0" fontId="12" fillId="0" borderId="16" xfId="23" applyFont="1" applyFill="1" applyBorder="1" applyAlignment="1">
      <alignment horizontal="center" vertical="top" wrapText="1"/>
      <protection/>
    </xf>
    <xf numFmtId="0" fontId="12" fillId="0" borderId="17" xfId="23" applyFont="1" applyFill="1" applyBorder="1" applyAlignment="1">
      <alignment horizontal="center" vertical="top" wrapText="1"/>
      <protection/>
    </xf>
    <xf numFmtId="14" fontId="30" fillId="0" borderId="0" xfId="0" applyNumberFormat="1" applyFont="1" applyFill="1" applyAlignment="1" applyProtection="1">
      <alignment/>
      <protection/>
    </xf>
    <xf numFmtId="0" fontId="30" fillId="0" borderId="0" xfId="0" applyFont="1" applyAlignment="1" applyProtection="1">
      <alignment/>
      <protection/>
    </xf>
    <xf numFmtId="14" fontId="31" fillId="2" borderId="0" xfId="22" applyNumberFormat="1" applyFont="1" applyFill="1" applyAlignment="1" applyProtection="1">
      <alignment horizontal="left"/>
      <protection/>
    </xf>
  </cellXfs>
  <cellStyles count="11">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Normal 4" xfId="23"/>
    <cellStyle name="Percent 2" xfId="24"/>
  </cellStyles>
  <dxfs count="667">
    <dxf>
      <fill>
        <patternFill>
          <bgColor rgb="FF7030A0"/>
        </patternFill>
      </fill>
      <border/>
    </dxf>
    <dxf>
      <fill>
        <patternFill>
          <bgColor rgb="FF7030A0"/>
        </patternFill>
      </fill>
      <border/>
    </dxf>
    <dxf>
      <fill>
        <patternFill>
          <bgColor rgb="FF7030A0"/>
        </patternFill>
      </fill>
      <border/>
    </dxf>
    <dxf>
      <fill>
        <patternFill>
          <bgColor rgb="FF7030A0"/>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92D050"/>
        </patternFill>
      </fill>
      <border/>
    </dxf>
    <dxf>
      <fill>
        <patternFill>
          <bgColor rgb="FFFF7171"/>
        </patternFill>
      </fill>
      <border/>
    </dxf>
    <dxf>
      <fill>
        <patternFill>
          <bgColor rgb="FFFF7171"/>
        </patternFill>
      </fill>
      <border/>
    </dxf>
    <dxf>
      <fill>
        <patternFill>
          <bgColor rgb="FFD9D9D9"/>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D9D9D9"/>
        </patternFill>
      </fill>
      <border/>
    </dxf>
    <dxf>
      <fill>
        <patternFill>
          <bgColor rgb="FFFF7171"/>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
      <fill>
        <patternFill>
          <bgColor rgb="FF92D050"/>
        </patternFill>
      </fill>
      <border/>
    </dxf>
    <dxf>
      <fill>
        <patternFill>
          <bgColor rgb="FFFF717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4000" b="0" i="0" u="none" baseline="0">
                <a:solidFill>
                  <a:schemeClr val="tx1">
                    <a:lumMod val="65000"/>
                    <a:lumOff val="35000"/>
                  </a:schemeClr>
                </a:solidFill>
                <a:latin typeface="+mn-lt"/>
                <a:ea typeface="Calibri"/>
                <a:cs typeface="Calibri"/>
              </a:rPr>
              <a:t>Gemiddelde score vragen VGO-KEURMERK</a:t>
            </a:r>
          </a:p>
        </c:rich>
      </c:tx>
      <c:layout/>
      <c:overlay val="0"/>
      <c:spPr>
        <a:noFill/>
        <a:ln>
          <a:noFill/>
        </a:ln>
      </c:spPr>
    </c:title>
    <c:plotArea>
      <c:layout/>
      <c:barChart>
        <c:barDir val="col"/>
        <c:grouping val="stacked"/>
        <c:varyColors val="0"/>
        <c:ser>
          <c:idx val="0"/>
          <c:order val="0"/>
          <c:tx>
            <c:strRef>
              <c:f>OKscores!$B$8</c:f>
              <c:strCache>
                <c:ptCount val="1"/>
                <c:pt idx="0">
                  <c:v>O</c:v>
                </c:pt>
              </c:strCache>
            </c:strRef>
          </c:tx>
          <c:spPr>
            <a:solidFill>
              <a:srgbClr val="7030A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OKscores!$A$9:$A$13</c:f>
              <c:strCache/>
            </c:strRef>
          </c:cat>
          <c:val>
            <c:numRef>
              <c:f>OKscores!$B$9:$B$13</c:f>
              <c:numCache/>
            </c:numRef>
          </c:val>
        </c:ser>
        <c:ser>
          <c:idx val="1"/>
          <c:order val="1"/>
          <c:tx>
            <c:strRef>
              <c:f>OKscores!$C$8</c:f>
              <c:strCache>
                <c:ptCount val="1"/>
                <c:pt idx="0">
                  <c:v>K</c:v>
                </c:pt>
              </c:strCache>
            </c:strRef>
          </c:tx>
          <c:spPr>
            <a:solidFill>
              <a:srgbClr val="00B0F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OKscores!$C$9:$C$13</c:f>
              <c:numCache/>
            </c:numRef>
          </c:val>
        </c:ser>
        <c:ser>
          <c:idx val="2"/>
          <c:order val="2"/>
          <c:tx>
            <c:strRef>
              <c:f>OKscores!$D$8</c:f>
              <c:strCache>
                <c:ptCount val="1"/>
                <c:pt idx="0">
                  <c:v>A</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OKscores!$D$9:$D$13</c:f>
              <c:numCache/>
            </c:numRef>
          </c:val>
        </c:ser>
        <c:overlap val="100"/>
        <c:gapWidth val="219"/>
        <c:axId val="40504082"/>
        <c:axId val="28992419"/>
      </c:barChart>
      <c:catAx>
        <c:axId val="40504082"/>
        <c:scaling>
          <c:orientation val="minMax"/>
        </c:scaling>
        <c:axPos val="b"/>
        <c:delete val="0"/>
        <c:numFmt formatCode="General" sourceLinked="1"/>
        <c:majorTickMark val="none"/>
        <c:minorTickMark val="none"/>
        <c:tickLblPos val="nextTo"/>
        <c:spPr>
          <a:noFill/>
          <a:ln w="9525" cap="flat" cmpd="sng">
            <a:solidFill>
              <a:srgbClr val="595959"/>
            </a:solidFill>
            <a:round/>
          </a:ln>
        </c:spPr>
        <c:txPr>
          <a:bodyPr/>
          <a:lstStyle/>
          <a:p>
            <a:pPr>
              <a:defRPr lang="en-US" cap="none" sz="2800" b="0" i="0" u="none" baseline="0">
                <a:solidFill>
                  <a:schemeClr val="tx1">
                    <a:lumMod val="65000"/>
                    <a:lumOff val="35000"/>
                  </a:schemeClr>
                </a:solidFill>
                <a:latin typeface="+mn-lt"/>
                <a:ea typeface="+mn-cs"/>
                <a:cs typeface="+mn-cs"/>
              </a:defRPr>
            </a:pPr>
          </a:p>
        </c:txPr>
        <c:crossAx val="28992419"/>
        <c:crosses val="autoZero"/>
        <c:auto val="1"/>
        <c:lblOffset val="100"/>
        <c:noMultiLvlLbl val="0"/>
      </c:catAx>
      <c:valAx>
        <c:axId val="28992419"/>
        <c:scaling>
          <c:orientation val="minMax"/>
          <c:max val="4"/>
          <c:min val="0"/>
        </c:scaling>
        <c:axPos val="l"/>
        <c:majorGridlines>
          <c:spPr>
            <a:ln w="9525" cap="flat" cmpd="sng">
              <a:solidFill>
                <a:srgbClr val="595959"/>
              </a:solidFill>
              <a:round/>
            </a:ln>
          </c:spPr>
        </c:majorGridlines>
        <c:delete val="0"/>
        <c:numFmt formatCode="General" sourceLinked="1"/>
        <c:majorTickMark val="none"/>
        <c:minorTickMark val="none"/>
        <c:tickLblPos val="nextTo"/>
        <c:spPr>
          <a:noFill/>
          <a:ln>
            <a:noFill/>
          </a:ln>
        </c:spPr>
        <c:txPr>
          <a:bodyPr/>
          <a:lstStyle/>
          <a:p>
            <a:pPr>
              <a:defRPr lang="en-US" cap="none" sz="3200" b="0" i="0" u="none" baseline="0">
                <a:solidFill>
                  <a:schemeClr val="tx1">
                    <a:lumMod val="65000"/>
                    <a:lumOff val="35000"/>
                  </a:schemeClr>
                </a:solidFill>
                <a:latin typeface="+mn-lt"/>
                <a:ea typeface="+mn-cs"/>
                <a:cs typeface="+mn-cs"/>
              </a:defRPr>
            </a:pPr>
          </a:p>
        </c:txPr>
        <c:crossAx val="40504082"/>
        <c:crosses val="autoZero"/>
        <c:crossBetween val="between"/>
        <c:dispUnits/>
        <c:maj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OKscores!$A$4</c:f>
              <c:strCache>
                <c:ptCount val="1"/>
                <c:pt idx="0">
                  <c:v>Score Kennisvragen VGO-KEURMERK</c:v>
                </c:pt>
              </c:strCache>
            </c:strRef>
          </c:tx>
          <c:spPr>
            <a:solidFill>
              <a:srgbClr val="00B0F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OKscores!$B$4:$E$4</c:f>
              <c:numCache/>
            </c:numRef>
          </c:val>
        </c:ser>
        <c:axId val="59605180"/>
        <c:axId val="66684573"/>
      </c:barChart>
      <c:catAx>
        <c:axId val="59605180"/>
        <c:scaling>
          <c:orientation val="minMax"/>
        </c:scaling>
        <c:axPos val="b"/>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Antwoord</a:t>
                </a:r>
              </a:p>
            </c:rich>
          </c:tx>
          <c:layout/>
          <c:overlay val="0"/>
          <c:spPr>
            <a:noFill/>
            <a:ln>
              <a:noFill/>
            </a:ln>
          </c:spPr>
        </c:title>
        <c:delete val="0"/>
        <c:numFmt formatCode="General" sourceLinked="1"/>
        <c:majorTickMark val="none"/>
        <c:minorTickMark val="none"/>
        <c:tickLblPos val="nextTo"/>
        <c:spPr>
          <a:noFill/>
          <a:ln w="9525" cap="flat" cmpd="sng">
            <a:solidFill>
              <a:srgbClr val="595959"/>
            </a:solidFill>
            <a:round/>
          </a:ln>
        </c:spPr>
        <c:txPr>
          <a:bodyPr/>
          <a:lstStyle/>
          <a:p>
            <a:pPr>
              <a:defRPr lang="en-US" cap="none" sz="2400" b="0" i="0" u="none" baseline="0">
                <a:solidFill>
                  <a:schemeClr val="tx1">
                    <a:lumMod val="65000"/>
                    <a:lumOff val="35000"/>
                  </a:schemeClr>
                </a:solidFill>
                <a:latin typeface="+mn-lt"/>
                <a:ea typeface="+mn-cs"/>
                <a:cs typeface="+mn-cs"/>
              </a:defRPr>
            </a:pPr>
          </a:p>
        </c:txPr>
        <c:crossAx val="66684573"/>
        <c:crosses val="autoZero"/>
        <c:auto val="1"/>
        <c:lblOffset val="100"/>
        <c:noMultiLvlLbl val="0"/>
      </c:catAx>
      <c:valAx>
        <c:axId val="66684573"/>
        <c:scaling>
          <c:orientation val="minMax"/>
        </c:scaling>
        <c:axPos val="l"/>
        <c:delete val="1"/>
        <c:majorTickMark val="none"/>
        <c:minorTickMark val="none"/>
        <c:tickLblPos val="nextTo"/>
        <c:crossAx val="59605180"/>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30625"/>
          <c:y val="0.22775"/>
          <c:w val="0.38825"/>
          <c:h val="0.54325"/>
        </c:manualLayout>
      </c:layout>
      <c:radarChart>
        <c:radarStyle val="filled"/>
        <c:varyColors val="0"/>
        <c:ser>
          <c:idx val="0"/>
          <c:order val="0"/>
          <c:tx>
            <c:strRef>
              <c:f>OKscores!$M$8</c:f>
              <c:strCache>
                <c:ptCount val="1"/>
                <c:pt idx="0">
                  <c:v>groen</c:v>
                </c:pt>
              </c:strCache>
            </c:strRef>
          </c:tx>
          <c:spPr>
            <a:solidFill>
              <a:srgbClr val="92D05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OKscores!$G$9:$G$16</c:f>
              <c:strCache/>
            </c:strRef>
          </c:cat>
          <c:val>
            <c:numRef>
              <c:f>OKscores!$M$9:$M$16</c:f>
              <c:numCache/>
            </c:numRef>
          </c:val>
        </c:ser>
        <c:ser>
          <c:idx val="1"/>
          <c:order val="1"/>
          <c:tx>
            <c:strRef>
              <c:f>OKscores!$L$8</c:f>
              <c:strCache>
                <c:ptCount val="1"/>
                <c:pt idx="0">
                  <c:v>rood</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OKscores!$G$9:$G$16</c:f>
              <c:strCache/>
            </c:strRef>
          </c:cat>
          <c:val>
            <c:numRef>
              <c:f>OKscores!$L$9:$L$16</c:f>
              <c:numCache/>
            </c:numRef>
          </c:val>
        </c:ser>
        <c:axId val="63290246"/>
        <c:axId val="32741303"/>
      </c:radarChart>
      <c:radarChart>
        <c:radarStyle val="marker"/>
        <c:varyColors val="0"/>
        <c:ser>
          <c:idx val="2"/>
          <c:order val="2"/>
          <c:tx>
            <c:strRef>
              <c:f>OKscores!$I$8</c:f>
              <c:strCache>
                <c:ptCount val="1"/>
                <c:pt idx="0">
                  <c:v>Score per onderdeel</c:v>
                </c:pt>
              </c:strCache>
            </c:strRef>
          </c:tx>
          <c:spPr>
            <a:ln w="38100" cap="rnd">
              <a:solidFill>
                <a:srgbClr val="FFFF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OKscores!$G$9:$G$16</c:f>
              <c:strCache/>
            </c:strRef>
          </c:cat>
          <c:val>
            <c:numRef>
              <c:f>OKscores!$I$9:$I$16</c:f>
              <c:numCache/>
            </c:numRef>
          </c:val>
        </c:ser>
        <c:ser>
          <c:idx val="3"/>
          <c:order val="3"/>
          <c:tx>
            <c:strRef>
              <c:f>OKscores!$N$8</c:f>
              <c:strCache>
                <c:ptCount val="1"/>
                <c:pt idx="0">
                  <c:v>1</c:v>
                </c:pt>
              </c:strCache>
            </c:strRef>
          </c:tx>
          <c:spPr>
            <a:ln w="28575" cap="rnd">
              <a:solidFill>
                <a:schemeClr val="tx1">
                  <a:lumMod val="65000"/>
                  <a:lumOff val="3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OKscores!$N$9:$N$16</c:f>
              <c:numCache/>
            </c:numRef>
          </c:val>
        </c:ser>
        <c:ser>
          <c:idx val="4"/>
          <c:order val="4"/>
          <c:tx>
            <c:strRef>
              <c:f>OKscores!$O$8</c:f>
              <c:strCache>
                <c:ptCount val="1"/>
                <c:pt idx="0">
                  <c:v>2</c:v>
                </c:pt>
              </c:strCache>
            </c:strRef>
          </c:tx>
          <c:spPr>
            <a:ln w="28575" cap="rnd">
              <a:solidFill>
                <a:schemeClr val="tx1">
                  <a:lumMod val="65000"/>
                  <a:lumOff val="3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OKscores!$O$9:$O$16</c:f>
              <c:numCache/>
            </c:numRef>
          </c:val>
        </c:ser>
        <c:ser>
          <c:idx val="5"/>
          <c:order val="5"/>
          <c:tx>
            <c:strRef>
              <c:f>OKscores!$P$8</c:f>
              <c:strCache>
                <c:ptCount val="1"/>
                <c:pt idx="0">
                  <c:v>3</c:v>
                </c:pt>
              </c:strCache>
            </c:strRef>
          </c:tx>
          <c:spPr>
            <a:ln w="28575" cap="rnd">
              <a:solidFill>
                <a:schemeClr val="tx1">
                  <a:lumMod val="65000"/>
                  <a:lumOff val="3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OKscores!$P$9:$P$16</c:f>
              <c:numCache/>
            </c:numRef>
          </c:val>
        </c:ser>
        <c:ser>
          <c:idx val="6"/>
          <c:order val="6"/>
          <c:tx>
            <c:strRef>
              <c:f>OKscores!$Q$8</c:f>
              <c:strCache>
                <c:ptCount val="1"/>
                <c:pt idx="0">
                  <c:v>4</c:v>
                </c:pt>
              </c:strCache>
            </c:strRef>
          </c:tx>
          <c:spPr>
            <a:ln w="28575" cap="rnd">
              <a:solidFill>
                <a:schemeClr val="tx1">
                  <a:lumMod val="65000"/>
                  <a:lumOff val="3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OKscores!$Q$9:$Q$16</c:f>
              <c:numCache/>
            </c:numRef>
          </c:val>
        </c:ser>
        <c:axId val="26236272"/>
        <c:axId val="34799857"/>
      </c:radarChart>
      <c:catAx>
        <c:axId val="6329024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32741303"/>
        <c:crosses val="autoZero"/>
        <c:auto val="1"/>
        <c:lblOffset val="100"/>
        <c:noMultiLvlLbl val="0"/>
      </c:catAx>
      <c:valAx>
        <c:axId val="32741303"/>
        <c:scaling>
          <c:orientation val="minMax"/>
        </c:scaling>
        <c:axPos val="l"/>
        <c:majorGridlines>
          <c:spPr>
            <a:ln w="9525" cap="flat" cmpd="sng">
              <a:solidFill>
                <a:schemeClr val="tx1"/>
              </a:solidFill>
              <a:round/>
            </a:ln>
          </c:spPr>
        </c:majorGridlines>
        <c:delete val="1"/>
        <c:majorTickMark val="none"/>
        <c:minorTickMark val="none"/>
        <c:tickLblPos val="nextTo"/>
        <c:crossAx val="63290246"/>
        <c:crosses val="autoZero"/>
        <c:crossBetween val="between"/>
        <c:dispUnits/>
        <c:majorUnit val="1"/>
      </c:valAx>
      <c:catAx>
        <c:axId val="26236272"/>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34799857"/>
        <c:crosses val="max"/>
        <c:auto val="1"/>
        <c:lblOffset val="100"/>
        <c:noMultiLvlLbl val="0"/>
      </c:catAx>
      <c:valAx>
        <c:axId val="34799857"/>
        <c:scaling>
          <c:orientation val="minMax"/>
          <c:max val="4"/>
        </c:scaling>
        <c:axPos val="l"/>
        <c:majorGridlines/>
        <c:delete val="0"/>
        <c:numFmt formatCode="General" sourceLinked="1"/>
        <c:majorTickMark val="out"/>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26236272"/>
        <c:crosses val="max"/>
        <c:crossBetween val="between"/>
        <c:dispUnits/>
        <c:maj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OKscores!$E$38</c:f>
              <c:strCache>
                <c:ptCount val="1"/>
                <c:pt idx="0">
                  <c:v>O</c:v>
                </c:pt>
              </c:strCache>
            </c:strRef>
          </c:tx>
          <c:spPr>
            <a:solidFill>
              <a:srgbClr val="7030A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OKscores!$A$39:$A$89</c:f>
              <c:strCache/>
            </c:strRef>
          </c:cat>
          <c:val>
            <c:numRef>
              <c:f>OKscores!$E$39:$E$89</c:f>
              <c:numCache/>
            </c:numRef>
          </c:val>
        </c:ser>
        <c:ser>
          <c:idx val="1"/>
          <c:order val="1"/>
          <c:tx>
            <c:strRef>
              <c:f>OKscores!$F$38</c:f>
              <c:strCache>
                <c:ptCount val="1"/>
                <c:pt idx="0">
                  <c:v>K</c:v>
                </c:pt>
              </c:strCache>
            </c:strRef>
          </c:tx>
          <c:spPr>
            <a:solidFill>
              <a:srgbClr val="00B0F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OKscores!$A$39:$A$89</c:f>
              <c:strCache/>
            </c:strRef>
          </c:cat>
          <c:val>
            <c:numRef>
              <c:f>OKscores!$F$39:$F$89</c:f>
              <c:numCache/>
            </c:numRef>
          </c:val>
        </c:ser>
        <c:axId val="44763258"/>
        <c:axId val="216139"/>
      </c:barChart>
      <c:lineChart>
        <c:grouping val="standard"/>
        <c:varyColors val="0"/>
        <c:ser>
          <c:idx val="2"/>
          <c:order val="2"/>
          <c:tx>
            <c:strRef>
              <c:f>OKscores!$I$38</c:f>
              <c:strCache>
                <c:ptCount val="1"/>
                <c:pt idx="0">
                  <c:v>dataseries 2</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OKscores!$H$39:$H$89</c:f>
              <c:strCache/>
            </c:strRef>
          </c:cat>
          <c:val>
            <c:numRef>
              <c:f>OKscores!$I$39:$I$89</c:f>
              <c:numCache/>
            </c:numRef>
          </c:val>
          <c:smooth val="0"/>
        </c:ser>
        <c:axId val="1945252"/>
        <c:axId val="17507269"/>
      </c:lineChart>
      <c:catAx>
        <c:axId val="44763258"/>
        <c:scaling>
          <c:orientation val="minMax"/>
        </c:scaling>
        <c:axPos val="b"/>
        <c:delete val="0"/>
        <c:numFmt formatCode="General" sourceLinked="1"/>
        <c:majorTickMark val="none"/>
        <c:minorTickMark val="none"/>
        <c:tickLblPos val="nextTo"/>
        <c:spPr>
          <a:noFill/>
          <a:ln w="9525" cap="flat" cmpd="sng">
            <a:solidFill>
              <a:srgbClr val="595959"/>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216139"/>
        <c:crosses val="autoZero"/>
        <c:auto val="1"/>
        <c:lblOffset val="100"/>
        <c:noMultiLvlLbl val="0"/>
      </c:catAx>
      <c:valAx>
        <c:axId val="216139"/>
        <c:scaling>
          <c:orientation val="minMax"/>
          <c:max val="4"/>
        </c:scaling>
        <c:axPos val="l"/>
        <c:majorGridlines>
          <c:spPr>
            <a:ln w="9525" cap="flat" cmpd="sng">
              <a:solidFill>
                <a:srgbClr val="595959"/>
              </a:solidFill>
              <a:round/>
            </a:ln>
          </c:spPr>
        </c:majorGridlines>
        <c:delete val="0"/>
        <c:numFmt formatCode="General" sourceLinked="1"/>
        <c:majorTickMark val="none"/>
        <c:minorTickMark val="none"/>
        <c:tickLblPos val="nextTo"/>
        <c:spPr>
          <a:noFill/>
          <a:ln>
            <a:noFill/>
          </a:ln>
        </c:spPr>
        <c:txPr>
          <a:bodyPr/>
          <a:lstStyle/>
          <a:p>
            <a:pPr>
              <a:defRPr lang="en-US" cap="none" sz="2000" b="0" i="0" u="none" baseline="0">
                <a:solidFill>
                  <a:schemeClr val="tx1">
                    <a:lumMod val="65000"/>
                    <a:lumOff val="35000"/>
                  </a:schemeClr>
                </a:solidFill>
                <a:latin typeface="+mn-lt"/>
                <a:ea typeface="+mn-cs"/>
                <a:cs typeface="+mn-cs"/>
              </a:defRPr>
            </a:pPr>
          </a:p>
        </c:txPr>
        <c:crossAx val="44763258"/>
        <c:crosses val="autoZero"/>
        <c:crossBetween val="between"/>
        <c:dispUnits/>
        <c:majorUnit val="1"/>
      </c:valAx>
      <c:catAx>
        <c:axId val="194525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1600" b="0" i="0" u="none" baseline="0">
                <a:solidFill>
                  <a:schemeClr val="tx1">
                    <a:lumMod val="65000"/>
                    <a:lumOff val="35000"/>
                  </a:schemeClr>
                </a:solidFill>
                <a:latin typeface="+mn-lt"/>
                <a:ea typeface="+mn-cs"/>
                <a:cs typeface="+mn-cs"/>
              </a:defRPr>
            </a:pPr>
          </a:p>
        </c:txPr>
        <c:crossAx val="17507269"/>
        <c:crosses val="max"/>
        <c:auto val="0"/>
        <c:lblOffset val="100"/>
        <c:noMultiLvlLbl val="0"/>
      </c:catAx>
      <c:valAx>
        <c:axId val="17507269"/>
        <c:scaling>
          <c:orientation val="minMax"/>
        </c:scaling>
        <c:axPos val="l"/>
        <c:delete val="1"/>
        <c:majorTickMark val="out"/>
        <c:minorTickMark val="none"/>
        <c:tickLblPos val="nextTo"/>
        <c:crossAx val="1945252"/>
        <c:crosses val="max"/>
        <c:crossBetween val="between"/>
        <c:dispUnits/>
      </c:valAx>
      <c:spPr>
        <a:noFill/>
        <a:ln>
          <a:noFill/>
        </a:ln>
      </c:spPr>
    </c:plotArea>
    <c:plotVisOnly val="1"/>
    <c:dispBlanksAs val="gap"/>
    <c:showDLblsOverMax val="0"/>
  </c:chart>
  <c:spPr>
    <a:no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OKscores!$A$3</c:f>
              <c:strCache>
                <c:ptCount val="1"/>
                <c:pt idx="0">
                  <c:v>Score Organisatievragen VGO-KEURMERK</c:v>
                </c:pt>
              </c:strCache>
            </c:strRef>
          </c:tx>
          <c:spPr>
            <a:solidFill>
              <a:srgbClr val="7030A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OKscores!$B$3:$E$3</c:f>
              <c:numCache/>
            </c:numRef>
          </c:val>
        </c:ser>
        <c:axId val="23347694"/>
        <c:axId val="8802655"/>
      </c:barChart>
      <c:catAx>
        <c:axId val="23347694"/>
        <c:scaling>
          <c:orientation val="minMax"/>
        </c:scaling>
        <c:axPos val="b"/>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Antwoord</a:t>
                </a:r>
              </a:p>
            </c:rich>
          </c:tx>
          <c:layout/>
          <c:overlay val="0"/>
          <c:spPr>
            <a:noFill/>
            <a:ln>
              <a:noFill/>
            </a:ln>
          </c:spPr>
        </c:title>
        <c:delete val="0"/>
        <c:numFmt formatCode="General" sourceLinked="1"/>
        <c:majorTickMark val="none"/>
        <c:minorTickMark val="none"/>
        <c:tickLblPos val="nextTo"/>
        <c:spPr>
          <a:noFill/>
          <a:ln w="9525" cap="flat" cmpd="sng">
            <a:solidFill>
              <a:srgbClr val="595959"/>
            </a:solidFill>
            <a:round/>
          </a:ln>
        </c:spPr>
        <c:txPr>
          <a:bodyPr/>
          <a:lstStyle/>
          <a:p>
            <a:pPr>
              <a:defRPr lang="en-US" cap="none" sz="2400" b="0" i="0" u="none" baseline="0">
                <a:solidFill>
                  <a:schemeClr val="tx1">
                    <a:lumMod val="65000"/>
                    <a:lumOff val="35000"/>
                  </a:schemeClr>
                </a:solidFill>
                <a:latin typeface="+mn-lt"/>
                <a:ea typeface="+mn-cs"/>
                <a:cs typeface="+mn-cs"/>
              </a:defRPr>
            </a:pPr>
          </a:p>
        </c:txPr>
        <c:crossAx val="8802655"/>
        <c:crosses val="autoZero"/>
        <c:auto val="1"/>
        <c:lblOffset val="100"/>
        <c:noMultiLvlLbl val="0"/>
      </c:catAx>
      <c:valAx>
        <c:axId val="8802655"/>
        <c:scaling>
          <c:orientation val="minMax"/>
        </c:scaling>
        <c:axPos val="l"/>
        <c:delete val="1"/>
        <c:majorTickMark val="none"/>
        <c:minorTickMark val="none"/>
        <c:tickLblPos val="nextTo"/>
        <c:crossAx val="23347694"/>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OKscores!$S$9</c:f>
              <c:strCache>
                <c:ptCount val="1"/>
                <c:pt idx="0">
                  <c:v>Score Organisatie ontwikkelvragen</c:v>
                </c:pt>
              </c:strCache>
            </c:strRef>
          </c:tx>
          <c:spPr>
            <a:solidFill>
              <a:srgbClr val="7030A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OKscores!$T$9:$W$9</c:f>
              <c:numCache/>
            </c:numRef>
          </c:val>
        </c:ser>
        <c:axId val="12115032"/>
        <c:axId val="41926425"/>
      </c:barChart>
      <c:catAx>
        <c:axId val="12115032"/>
        <c:scaling>
          <c:orientation val="minMax"/>
        </c:scaling>
        <c:axPos val="b"/>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Antwoord</a:t>
                </a:r>
              </a:p>
            </c:rich>
          </c:tx>
          <c:layout/>
          <c:overlay val="0"/>
          <c:spPr>
            <a:noFill/>
            <a:ln>
              <a:noFill/>
            </a:ln>
          </c:spPr>
        </c:title>
        <c:delete val="0"/>
        <c:numFmt formatCode="General" sourceLinked="1"/>
        <c:majorTickMark val="none"/>
        <c:minorTickMark val="none"/>
        <c:tickLblPos val="nextTo"/>
        <c:spPr>
          <a:noFill/>
          <a:ln w="9525" cap="flat" cmpd="sng">
            <a:solidFill>
              <a:srgbClr val="595959"/>
            </a:solidFill>
            <a:round/>
          </a:ln>
        </c:spPr>
        <c:txPr>
          <a:bodyPr/>
          <a:lstStyle/>
          <a:p>
            <a:pPr>
              <a:defRPr lang="en-US" cap="none" sz="2400" b="0" i="0" u="none" baseline="0">
                <a:solidFill>
                  <a:schemeClr val="tx1">
                    <a:lumMod val="65000"/>
                    <a:lumOff val="35000"/>
                  </a:schemeClr>
                </a:solidFill>
                <a:latin typeface="+mn-lt"/>
                <a:ea typeface="+mn-cs"/>
                <a:cs typeface="+mn-cs"/>
              </a:defRPr>
            </a:pPr>
          </a:p>
        </c:txPr>
        <c:crossAx val="41926425"/>
        <c:crosses val="autoZero"/>
        <c:auto val="1"/>
        <c:lblOffset val="100"/>
        <c:noMultiLvlLbl val="0"/>
      </c:catAx>
      <c:valAx>
        <c:axId val="41926425"/>
        <c:scaling>
          <c:orientation val="minMax"/>
        </c:scaling>
        <c:axPos val="l"/>
        <c:delete val="1"/>
        <c:majorTickMark val="none"/>
        <c:minorTickMark val="none"/>
        <c:tickLblPos val="nextTo"/>
        <c:crossAx val="12115032"/>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OKscores!$S$10</c:f>
              <c:strCache>
                <c:ptCount val="1"/>
                <c:pt idx="0">
                  <c:v>Score Kennis ontwikkelvragen</c:v>
                </c:pt>
              </c:strCache>
            </c:strRef>
          </c:tx>
          <c:spPr>
            <a:solidFill>
              <a:srgbClr val="00B0F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OKscores!$T$10:$W$10</c:f>
              <c:numCache/>
            </c:numRef>
          </c:val>
        </c:ser>
        <c:axId val="41793506"/>
        <c:axId val="40597235"/>
      </c:barChart>
      <c:catAx>
        <c:axId val="41793506"/>
        <c:scaling>
          <c:orientation val="minMax"/>
        </c:scaling>
        <c:axPos val="b"/>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Antwoord</a:t>
                </a:r>
              </a:p>
            </c:rich>
          </c:tx>
          <c:layout/>
          <c:overlay val="0"/>
          <c:spPr>
            <a:noFill/>
            <a:ln>
              <a:noFill/>
            </a:ln>
          </c:spPr>
        </c:title>
        <c:delete val="0"/>
        <c:numFmt formatCode="General" sourceLinked="1"/>
        <c:majorTickMark val="none"/>
        <c:minorTickMark val="none"/>
        <c:tickLblPos val="nextTo"/>
        <c:spPr>
          <a:noFill/>
          <a:ln w="9525" cap="flat" cmpd="sng">
            <a:solidFill>
              <a:srgbClr val="595959"/>
            </a:solidFill>
            <a:round/>
          </a:ln>
        </c:spPr>
        <c:txPr>
          <a:bodyPr/>
          <a:lstStyle/>
          <a:p>
            <a:pPr>
              <a:defRPr lang="en-US" cap="none" sz="2400" b="0" i="0" u="none" baseline="0">
                <a:solidFill>
                  <a:schemeClr val="tx1">
                    <a:lumMod val="65000"/>
                    <a:lumOff val="35000"/>
                  </a:schemeClr>
                </a:solidFill>
                <a:latin typeface="+mn-lt"/>
                <a:ea typeface="+mn-cs"/>
                <a:cs typeface="+mn-cs"/>
              </a:defRPr>
            </a:pPr>
          </a:p>
        </c:txPr>
        <c:crossAx val="40597235"/>
        <c:crosses val="autoZero"/>
        <c:auto val="1"/>
        <c:lblOffset val="100"/>
        <c:noMultiLvlLbl val="0"/>
      </c:catAx>
      <c:valAx>
        <c:axId val="40597235"/>
        <c:scaling>
          <c:orientation val="minMax"/>
        </c:scaling>
        <c:axPos val="l"/>
        <c:delete val="1"/>
        <c:majorTickMark val="none"/>
        <c:minorTickMark val="none"/>
        <c:tickLblPos val="nextTo"/>
        <c:crossAx val="41793506"/>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6</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95450" cy="1257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6</xdr:row>
      <xdr:rowOff>66675</xdr:rowOff>
    </xdr:to>
    <xdr:pic>
      <xdr:nvPicPr>
        <xdr:cNvPr id="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666875" cy="1247775"/>
        </a:xfrm>
        <a:prstGeom prst="rect">
          <a:avLst/>
        </a:prstGeom>
        <a:ln>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0.005</cdr:y>
    </cdr:from>
    <cdr:to>
      <cdr:x>0.2395</cdr:x>
      <cdr:y>0.06075</cdr:y>
    </cdr:to>
    <cdr:sp macro="" textlink="">
      <cdr:nvSpPr>
        <cdr:cNvPr id="3" name="TextBox 14"/>
        <cdr:cNvSpPr txBox="1"/>
      </cdr:nvSpPr>
      <cdr:spPr>
        <a:xfrm>
          <a:off x="47625" y="47625"/>
          <a:ext cx="3314700" cy="561975"/>
        </a:xfrm>
        <a:prstGeom prst="rect">
          <a:avLst/>
        </a:prstGeom>
        <a:solidFill>
          <a:srgbClr val="FFFFFF"/>
        </a:solidFill>
        <a:ln w="9525" cmpd="sng">
          <a:noFill/>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2800" b="0" i="0" u="none" strike="noStrike">
              <a:solidFill>
                <a:srgbClr val="595959"/>
              </a:solidFill>
              <a:latin typeface="Calibri"/>
              <a:cs typeface="Calibri"/>
            </a:rPr>
            <a:t>Score</a:t>
          </a:r>
          <a:r>
            <a:rPr lang="en-US" sz="2800" b="0" i="0" u="none" strike="noStrike" baseline="0">
              <a:solidFill>
                <a:srgbClr val="595959"/>
              </a:solidFill>
              <a:latin typeface="Calibri"/>
              <a:cs typeface="Calibri"/>
            </a:rPr>
            <a:t> per onderdeel</a:t>
          </a:r>
          <a:endParaRPr lang="nl-NL" sz="2800">
            <a:solidFill>
              <a:srgbClr val="595959"/>
            </a:solidFill>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155</xdr:row>
      <xdr:rowOff>152400</xdr:rowOff>
    </xdr:from>
    <xdr:to>
      <xdr:col>8</xdr:col>
      <xdr:colOff>247650</xdr:colOff>
      <xdr:row>188</xdr:row>
      <xdr:rowOff>38100</xdr:rowOff>
    </xdr:to>
    <xdr:graphicFrame macro="">
      <xdr:nvGraphicFramePr>
        <xdr:cNvPr id="3" name="Chart 2"/>
        <xdr:cNvGraphicFramePr/>
      </xdr:nvGraphicFramePr>
      <xdr:xfrm>
        <a:off x="85725" y="35156775"/>
        <a:ext cx="13839825" cy="61722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114300</xdr:colOff>
      <xdr:row>0</xdr:row>
      <xdr:rowOff>161925</xdr:rowOff>
    </xdr:from>
    <xdr:to>
      <xdr:col>0</xdr:col>
      <xdr:colOff>2743200</xdr:colOff>
      <xdr:row>6</xdr:row>
      <xdr:rowOff>161925</xdr:rowOff>
    </xdr:to>
    <xdr:pic>
      <xdr:nvPicPr>
        <xdr:cNvPr id="8"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4300" y="161925"/>
          <a:ext cx="2628900" cy="1971675"/>
        </a:xfrm>
        <a:prstGeom prst="rect">
          <a:avLst/>
        </a:prstGeom>
        <a:ln>
          <a:noFill/>
        </a:ln>
      </xdr:spPr>
    </xdr:pic>
    <xdr:clientData/>
  </xdr:twoCellAnchor>
  <xdr:twoCellAnchor>
    <xdr:from>
      <xdr:col>2</xdr:col>
      <xdr:colOff>342900</xdr:colOff>
      <xdr:row>127</xdr:row>
      <xdr:rowOff>47625</xdr:rowOff>
    </xdr:from>
    <xdr:to>
      <xdr:col>8</xdr:col>
      <xdr:colOff>238125</xdr:colOff>
      <xdr:row>155</xdr:row>
      <xdr:rowOff>19050</xdr:rowOff>
    </xdr:to>
    <xdr:graphicFrame macro="">
      <xdr:nvGraphicFramePr>
        <xdr:cNvPr id="9" name="Chart 8"/>
        <xdr:cNvGraphicFramePr/>
      </xdr:nvGraphicFramePr>
      <xdr:xfrm>
        <a:off x="7048500" y="29660850"/>
        <a:ext cx="6867525" cy="53625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95250</xdr:colOff>
      <xdr:row>91</xdr:row>
      <xdr:rowOff>142875</xdr:rowOff>
    </xdr:from>
    <xdr:to>
      <xdr:col>0</xdr:col>
      <xdr:colOff>2733675</xdr:colOff>
      <xdr:row>98</xdr:row>
      <xdr:rowOff>19050</xdr:rowOff>
    </xdr:to>
    <xdr:pic>
      <xdr:nvPicPr>
        <xdr:cNvPr id="1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0" y="22155150"/>
          <a:ext cx="2638425" cy="1952625"/>
        </a:xfrm>
        <a:prstGeom prst="rect">
          <a:avLst/>
        </a:prstGeom>
        <a:ln>
          <a:noFill/>
        </a:ln>
      </xdr:spPr>
    </xdr:pic>
    <xdr:clientData/>
  </xdr:twoCellAnchor>
  <xdr:twoCellAnchor>
    <xdr:from>
      <xdr:col>0</xdr:col>
      <xdr:colOff>57150</xdr:colOff>
      <xdr:row>20</xdr:row>
      <xdr:rowOff>247650</xdr:rowOff>
    </xdr:from>
    <xdr:to>
      <xdr:col>8</xdr:col>
      <xdr:colOff>409575</xdr:colOff>
      <xdr:row>67</xdr:row>
      <xdr:rowOff>38100</xdr:rowOff>
    </xdr:to>
    <xdr:graphicFrame macro="">
      <xdr:nvGraphicFramePr>
        <xdr:cNvPr id="2" name="Chart 1"/>
        <xdr:cNvGraphicFramePr/>
      </xdr:nvGraphicFramePr>
      <xdr:xfrm>
        <a:off x="57150" y="6905625"/>
        <a:ext cx="14030325" cy="10048875"/>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67</xdr:row>
      <xdr:rowOff>123825</xdr:rowOff>
    </xdr:from>
    <xdr:to>
      <xdr:col>8</xdr:col>
      <xdr:colOff>390525</xdr:colOff>
      <xdr:row>89</xdr:row>
      <xdr:rowOff>85725</xdr:rowOff>
    </xdr:to>
    <xdr:graphicFrame macro="">
      <xdr:nvGraphicFramePr>
        <xdr:cNvPr id="5" name="Chart 4"/>
        <xdr:cNvGraphicFramePr/>
      </xdr:nvGraphicFramePr>
      <xdr:xfrm>
        <a:off x="57150" y="17040225"/>
        <a:ext cx="14011275" cy="467677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127</xdr:row>
      <xdr:rowOff>57150</xdr:rowOff>
    </xdr:from>
    <xdr:to>
      <xdr:col>2</xdr:col>
      <xdr:colOff>257175</xdr:colOff>
      <xdr:row>155</xdr:row>
      <xdr:rowOff>28575</xdr:rowOff>
    </xdr:to>
    <xdr:graphicFrame macro="">
      <xdr:nvGraphicFramePr>
        <xdr:cNvPr id="10" name="Chart 9"/>
        <xdr:cNvGraphicFramePr/>
      </xdr:nvGraphicFramePr>
      <xdr:xfrm>
        <a:off x="104775" y="29670375"/>
        <a:ext cx="6858000" cy="5362575"/>
      </xdr:xfrm>
      <a:graphic>
        <a:graphicData uri="http://schemas.openxmlformats.org/drawingml/2006/chart">
          <c:chart xmlns:c="http://schemas.openxmlformats.org/drawingml/2006/chart" r:id="rId6"/>
        </a:graphicData>
      </a:graphic>
    </xdr:graphicFrame>
    <xdr:clientData/>
  </xdr:twoCellAnchor>
  <xdr:twoCellAnchor>
    <xdr:from>
      <xdr:col>0</xdr:col>
      <xdr:colOff>104775</xdr:colOff>
      <xdr:row>98</xdr:row>
      <xdr:rowOff>95250</xdr:rowOff>
    </xdr:from>
    <xdr:to>
      <xdr:col>2</xdr:col>
      <xdr:colOff>266700</xdr:colOff>
      <xdr:row>126</xdr:row>
      <xdr:rowOff>152400</xdr:rowOff>
    </xdr:to>
    <xdr:graphicFrame macro="">
      <xdr:nvGraphicFramePr>
        <xdr:cNvPr id="11" name="Chart 10"/>
        <xdr:cNvGraphicFramePr/>
      </xdr:nvGraphicFramePr>
      <xdr:xfrm>
        <a:off x="104775" y="24183975"/>
        <a:ext cx="6867525" cy="5391150"/>
      </xdr:xfrm>
      <a:graphic>
        <a:graphicData uri="http://schemas.openxmlformats.org/drawingml/2006/chart">
          <c:chart xmlns:c="http://schemas.openxmlformats.org/drawingml/2006/chart" r:id="rId7"/>
        </a:graphicData>
      </a:graphic>
    </xdr:graphicFrame>
    <xdr:clientData/>
  </xdr:twoCellAnchor>
  <xdr:twoCellAnchor>
    <xdr:from>
      <xdr:col>2</xdr:col>
      <xdr:colOff>342900</xdr:colOff>
      <xdr:row>98</xdr:row>
      <xdr:rowOff>104775</xdr:rowOff>
    </xdr:from>
    <xdr:to>
      <xdr:col>8</xdr:col>
      <xdr:colOff>238125</xdr:colOff>
      <xdr:row>126</xdr:row>
      <xdr:rowOff>152400</xdr:rowOff>
    </xdr:to>
    <xdr:graphicFrame macro="">
      <xdr:nvGraphicFramePr>
        <xdr:cNvPr id="13" name="Chart 12"/>
        <xdr:cNvGraphicFramePr/>
      </xdr:nvGraphicFramePr>
      <xdr:xfrm>
        <a:off x="7048500" y="24193500"/>
        <a:ext cx="6867525" cy="5381625"/>
      </xdr:xfrm>
      <a:graphic>
        <a:graphicData uri="http://schemas.openxmlformats.org/drawingml/2006/chart">
          <c:chart xmlns:c="http://schemas.openxmlformats.org/drawingml/2006/chart" r:id="rId8"/>
        </a:graphicData>
      </a:graphic>
    </xdr:graphicFrame>
    <xdr:clientData/>
  </xdr:twoCellAnchor>
  <xdr:twoCellAnchor>
    <xdr:from>
      <xdr:col>2</xdr:col>
      <xdr:colOff>409575</xdr:colOff>
      <xdr:row>127</xdr:row>
      <xdr:rowOff>95250</xdr:rowOff>
    </xdr:from>
    <xdr:to>
      <xdr:col>8</xdr:col>
      <xdr:colOff>171450</xdr:colOff>
      <xdr:row>130</xdr:row>
      <xdr:rowOff>0</xdr:rowOff>
    </xdr:to>
    <xdr:sp macro="" textlink="OKscores!A4">
      <xdr:nvSpPr>
        <xdr:cNvPr id="6" name="TextBox 5"/>
        <xdr:cNvSpPr txBox="1"/>
      </xdr:nvSpPr>
      <xdr:spPr>
        <a:xfrm>
          <a:off x="7115175" y="29708475"/>
          <a:ext cx="6734175" cy="476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fld id="{6A369E05-20A8-408A-B45A-BB1F118A064B}" type="TxLink">
            <a:rPr lang="en-US" sz="2800" b="0" i="0" u="none" strike="noStrike">
              <a:solidFill>
                <a:srgbClr val="595959"/>
              </a:solidFill>
              <a:latin typeface="Calibri"/>
              <a:cs typeface="Calibri"/>
            </a:rPr>
            <a:pPr algn="ctr"/>
            <a:t>Score Kennisvragen VGO-KEURMERK</a:t>
          </a:fld>
          <a:endParaRPr lang="nl-NL" sz="2800">
            <a:solidFill>
              <a:srgbClr val="595959"/>
            </a:solidFill>
          </a:endParaRPr>
        </a:p>
      </xdr:txBody>
    </xdr:sp>
    <xdr:clientData/>
  </xdr:twoCellAnchor>
  <xdr:twoCellAnchor>
    <xdr:from>
      <xdr:col>0</xdr:col>
      <xdr:colOff>161925</xdr:colOff>
      <xdr:row>127</xdr:row>
      <xdr:rowOff>95250</xdr:rowOff>
    </xdr:from>
    <xdr:to>
      <xdr:col>2</xdr:col>
      <xdr:colOff>171450</xdr:colOff>
      <xdr:row>130</xdr:row>
      <xdr:rowOff>0</xdr:rowOff>
    </xdr:to>
    <xdr:sp macro="" textlink="OKscores!A3">
      <xdr:nvSpPr>
        <xdr:cNvPr id="14" name="TextBox 13"/>
        <xdr:cNvSpPr txBox="1"/>
      </xdr:nvSpPr>
      <xdr:spPr>
        <a:xfrm>
          <a:off x="161925" y="29708475"/>
          <a:ext cx="6715125" cy="476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fld id="{5DE1963D-F2A8-49B0-AAD4-C960C24218EF}" type="TxLink">
            <a:rPr lang="en-US" sz="2800" b="0" i="0" u="none" strike="noStrike">
              <a:solidFill>
                <a:srgbClr val="595959"/>
              </a:solidFill>
              <a:latin typeface="Calibri"/>
              <a:cs typeface="Calibri"/>
            </a:rPr>
            <a:pPr algn="ctr"/>
            <a:t>Score Organisatievragen VGO-KEURMERK</a:t>
          </a:fld>
          <a:endParaRPr lang="nl-NL" sz="2800">
            <a:solidFill>
              <a:srgbClr val="595959"/>
            </a:solidFill>
          </a:endParaRPr>
        </a:p>
      </xdr:txBody>
    </xdr:sp>
    <xdr:clientData/>
  </xdr:twoCellAnchor>
  <xdr:twoCellAnchor>
    <xdr:from>
      <xdr:col>0</xdr:col>
      <xdr:colOff>161925</xdr:colOff>
      <xdr:row>98</xdr:row>
      <xdr:rowOff>152400</xdr:rowOff>
    </xdr:from>
    <xdr:to>
      <xdr:col>2</xdr:col>
      <xdr:colOff>180975</xdr:colOff>
      <xdr:row>101</xdr:row>
      <xdr:rowOff>57150</xdr:rowOff>
    </xdr:to>
    <xdr:sp macro="" textlink="OKscores!S9">
      <xdr:nvSpPr>
        <xdr:cNvPr id="15" name="TextBox 14"/>
        <xdr:cNvSpPr txBox="1"/>
      </xdr:nvSpPr>
      <xdr:spPr>
        <a:xfrm>
          <a:off x="161925" y="24241125"/>
          <a:ext cx="6724650" cy="476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fld id="{0E0B4C81-B71F-42C3-A797-9DDF54D77B1C}" type="TxLink">
            <a:rPr lang="en-US" sz="2800" b="0" i="0" u="none" strike="noStrike">
              <a:solidFill>
                <a:srgbClr val="595959"/>
              </a:solidFill>
              <a:latin typeface="Calibri"/>
              <a:cs typeface="Calibri"/>
            </a:rPr>
            <a:pPr algn="ctr"/>
            <a:t>Score Organisatie ontwikkelvragen</a:t>
          </a:fld>
          <a:endParaRPr lang="nl-NL" sz="2800">
            <a:solidFill>
              <a:srgbClr val="595959"/>
            </a:solidFill>
          </a:endParaRPr>
        </a:p>
      </xdr:txBody>
    </xdr:sp>
    <xdr:clientData/>
  </xdr:twoCellAnchor>
  <xdr:twoCellAnchor>
    <xdr:from>
      <xdr:col>2</xdr:col>
      <xdr:colOff>409575</xdr:colOff>
      <xdr:row>98</xdr:row>
      <xdr:rowOff>152400</xdr:rowOff>
    </xdr:from>
    <xdr:to>
      <xdr:col>8</xdr:col>
      <xdr:colOff>161925</xdr:colOff>
      <xdr:row>101</xdr:row>
      <xdr:rowOff>57150</xdr:rowOff>
    </xdr:to>
    <xdr:sp macro="" textlink="OKscores!S10">
      <xdr:nvSpPr>
        <xdr:cNvPr id="16" name="TextBox 15"/>
        <xdr:cNvSpPr txBox="1"/>
      </xdr:nvSpPr>
      <xdr:spPr>
        <a:xfrm>
          <a:off x="7115175" y="24241125"/>
          <a:ext cx="6724650" cy="476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fld id="{EF5BD23C-CEFB-490F-B95E-4731A241CEA6}" type="TxLink">
            <a:rPr lang="en-US" sz="2800" b="0" i="0" u="none" strike="noStrike">
              <a:solidFill>
                <a:srgbClr val="595959"/>
              </a:solidFill>
              <a:latin typeface="Calibri"/>
              <a:cs typeface="Calibri"/>
            </a:rPr>
            <a:pPr algn="ctr"/>
            <a:t>Score Kennis ontwikkelvragen</a:t>
          </a:fld>
          <a:endParaRPr lang="nl-NL" sz="2800">
            <a:solidFill>
              <a:srgbClr val="595959"/>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showGridLines="0" tabSelected="1" workbookViewId="0" topLeftCell="A1"/>
  </sheetViews>
  <sheetFormatPr defaultColWidth="9.140625" defaultRowHeight="15"/>
  <cols>
    <col min="1" max="2" width="9.140625" style="17" customWidth="1"/>
    <col min="3" max="3" width="19.8515625" style="17" customWidth="1"/>
    <col min="4" max="4" width="25.7109375" style="587" customWidth="1"/>
    <col min="5" max="7" width="25.7109375" style="17" customWidth="1"/>
    <col min="8" max="8" width="9.140625" style="17" customWidth="1"/>
    <col min="9" max="9" width="9.140625" style="17" hidden="1" customWidth="1"/>
    <col min="10" max="16384" width="9.140625" style="17" customWidth="1"/>
  </cols>
  <sheetData>
    <row r="1" s="633" customFormat="1" ht="15">
      <c r="D1" s="628"/>
    </row>
    <row r="2" s="633" customFormat="1" ht="15">
      <c r="D2" s="628"/>
    </row>
    <row r="3" spans="4:7" s="633" customFormat="1" ht="15">
      <c r="D3" s="634" t="s">
        <v>110</v>
      </c>
      <c r="F3" s="577" t="s">
        <v>574</v>
      </c>
      <c r="G3" s="578">
        <v>44013</v>
      </c>
    </row>
    <row r="4" spans="4:6" s="633" customFormat="1" ht="15">
      <c r="D4" s="579"/>
      <c r="E4" s="14"/>
      <c r="F4" s="15"/>
    </row>
    <row r="5" spans="4:9" s="633" customFormat="1" ht="15" customHeight="1">
      <c r="D5" s="647" t="s">
        <v>111</v>
      </c>
      <c r="E5" s="646"/>
      <c r="F5" s="646"/>
      <c r="G5" s="646"/>
      <c r="I5" s="633">
        <v>1</v>
      </c>
    </row>
    <row r="6" spans="4:6" s="633" customFormat="1" ht="15.75">
      <c r="D6" s="629"/>
      <c r="E6" s="629"/>
      <c r="F6" s="16"/>
    </row>
    <row r="7" spans="4:6" s="633" customFormat="1" ht="15.75">
      <c r="D7" s="628"/>
      <c r="E7" s="629"/>
      <c r="F7" s="16"/>
    </row>
    <row r="8" spans="3:6" s="633" customFormat="1" ht="15.75">
      <c r="C8" s="580"/>
      <c r="D8" s="629"/>
      <c r="E8" s="629"/>
      <c r="F8" s="16"/>
    </row>
    <row r="9" spans="1:6" s="633" customFormat="1" ht="15.75">
      <c r="A9" s="630" t="s">
        <v>0</v>
      </c>
      <c r="D9" s="629"/>
      <c r="E9" s="629"/>
      <c r="F9" s="16"/>
    </row>
    <row r="10" spans="1:9" s="633" customFormat="1" ht="31.15" customHeight="1">
      <c r="A10" s="645" t="s">
        <v>647</v>
      </c>
      <c r="B10" s="646"/>
      <c r="C10" s="646"/>
      <c r="D10" s="646"/>
      <c r="E10" s="646"/>
      <c r="F10" s="646"/>
      <c r="G10" s="646"/>
      <c r="I10" s="633">
        <v>4</v>
      </c>
    </row>
    <row r="11" spans="1:7" s="633" customFormat="1" ht="31.15" customHeight="1">
      <c r="A11" s="645" t="s">
        <v>648</v>
      </c>
      <c r="B11" s="646"/>
      <c r="C11" s="646"/>
      <c r="D11" s="646"/>
      <c r="E11" s="646"/>
      <c r="F11" s="646"/>
      <c r="G11" s="646"/>
    </row>
    <row r="12" spans="1:9" s="633" customFormat="1" ht="22.9" customHeight="1">
      <c r="A12" s="645" t="s">
        <v>649</v>
      </c>
      <c r="B12" s="646"/>
      <c r="C12" s="646"/>
      <c r="D12" s="646"/>
      <c r="E12" s="646"/>
      <c r="F12" s="646"/>
      <c r="G12" s="646"/>
      <c r="I12" s="633">
        <v>2</v>
      </c>
    </row>
    <row r="13" spans="1:9" s="633" customFormat="1" ht="40.15" customHeight="1">
      <c r="A13" s="645" t="s">
        <v>650</v>
      </c>
      <c r="B13" s="646"/>
      <c r="C13" s="646"/>
      <c r="D13" s="646"/>
      <c r="E13" s="646"/>
      <c r="F13" s="646"/>
      <c r="G13" s="646"/>
      <c r="I13" s="633">
        <v>4</v>
      </c>
    </row>
    <row r="14" spans="1:7" s="633" customFormat="1" ht="13.9" customHeight="1">
      <c r="A14" s="645" t="s">
        <v>651</v>
      </c>
      <c r="B14" s="646"/>
      <c r="C14" s="646"/>
      <c r="D14" s="646"/>
      <c r="E14" s="646"/>
      <c r="F14" s="646"/>
      <c r="G14" s="646"/>
    </row>
    <row r="15" spans="1:7" s="633" customFormat="1" ht="19.9" customHeight="1">
      <c r="A15" s="648" t="s">
        <v>652</v>
      </c>
      <c r="B15" s="649"/>
      <c r="C15" s="649"/>
      <c r="D15" s="649"/>
      <c r="E15" s="649"/>
      <c r="F15" s="649"/>
      <c r="G15" s="649"/>
    </row>
    <row r="16" spans="1:7" s="633" customFormat="1" ht="49.9" customHeight="1">
      <c r="A16" s="645" t="s">
        <v>653</v>
      </c>
      <c r="B16" s="646"/>
      <c r="C16" s="646"/>
      <c r="D16" s="646"/>
      <c r="E16" s="646"/>
      <c r="F16" s="646"/>
      <c r="G16" s="646"/>
    </row>
    <row r="17" spans="1:9" s="633" customFormat="1" ht="40.9" customHeight="1">
      <c r="A17" s="645" t="s">
        <v>654</v>
      </c>
      <c r="B17" s="646"/>
      <c r="C17" s="646"/>
      <c r="D17" s="646"/>
      <c r="E17" s="646"/>
      <c r="F17" s="646"/>
      <c r="G17" s="646"/>
      <c r="I17" s="633">
        <v>4</v>
      </c>
    </row>
    <row r="18" spans="1:7" s="633" customFormat="1" ht="36" customHeight="1">
      <c r="A18" s="645" t="s">
        <v>655</v>
      </c>
      <c r="B18" s="646"/>
      <c r="C18" s="646"/>
      <c r="D18" s="646"/>
      <c r="E18" s="646"/>
      <c r="F18" s="646"/>
      <c r="G18" s="646"/>
    </row>
    <row r="19" spans="1:9" s="633" customFormat="1" ht="24.6" customHeight="1">
      <c r="A19" s="645" t="s">
        <v>656</v>
      </c>
      <c r="B19" s="646"/>
      <c r="C19" s="646"/>
      <c r="D19" s="646"/>
      <c r="E19" s="646"/>
      <c r="F19" s="646"/>
      <c r="G19" s="646"/>
      <c r="I19" s="633">
        <v>3</v>
      </c>
    </row>
    <row r="20" spans="1:7" s="633" customFormat="1" ht="49.9" customHeight="1">
      <c r="A20" s="645" t="s">
        <v>687</v>
      </c>
      <c r="B20" s="646"/>
      <c r="C20" s="646"/>
      <c r="D20" s="646"/>
      <c r="E20" s="646"/>
      <c r="F20" s="646"/>
      <c r="G20" s="646"/>
    </row>
    <row r="21" spans="1:7" s="633" customFormat="1" ht="18.6" customHeight="1">
      <c r="A21" s="645"/>
      <c r="B21" s="646"/>
      <c r="C21" s="646"/>
      <c r="D21" s="646"/>
      <c r="E21" s="646"/>
      <c r="F21" s="646"/>
      <c r="G21" s="646"/>
    </row>
    <row r="22" spans="1:6" s="633" customFormat="1" ht="15.75">
      <c r="A22" s="630" t="s">
        <v>657</v>
      </c>
      <c r="C22" s="580"/>
      <c r="D22" s="629"/>
      <c r="E22" s="629"/>
      <c r="F22" s="16"/>
    </row>
    <row r="23" spans="1:9" s="633" customFormat="1" ht="31.15" customHeight="1">
      <c r="A23" s="645" t="s">
        <v>658</v>
      </c>
      <c r="B23" s="646"/>
      <c r="C23" s="646"/>
      <c r="D23" s="646"/>
      <c r="E23" s="646"/>
      <c r="F23" s="646"/>
      <c r="G23" s="646"/>
      <c r="I23" s="633">
        <v>2</v>
      </c>
    </row>
    <row r="24" spans="1:9" s="633" customFormat="1" ht="19.15" customHeight="1">
      <c r="A24" s="645" t="s">
        <v>575</v>
      </c>
      <c r="B24" s="646"/>
      <c r="C24" s="646"/>
      <c r="D24" s="646"/>
      <c r="E24" s="646"/>
      <c r="F24" s="646"/>
      <c r="G24" s="646"/>
      <c r="I24" s="633">
        <v>2</v>
      </c>
    </row>
    <row r="25" spans="1:9" s="633" customFormat="1" ht="34.15" customHeight="1">
      <c r="A25" s="645" t="s">
        <v>659</v>
      </c>
      <c r="B25" s="646"/>
      <c r="C25" s="646"/>
      <c r="D25" s="646"/>
      <c r="E25" s="646"/>
      <c r="F25" s="646"/>
      <c r="G25" s="646"/>
      <c r="I25" s="633">
        <v>3</v>
      </c>
    </row>
    <row r="26" spans="1:9" s="633" customFormat="1" ht="18" customHeight="1">
      <c r="A26" s="645" t="s">
        <v>660</v>
      </c>
      <c r="B26" s="646"/>
      <c r="C26" s="646"/>
      <c r="D26" s="646"/>
      <c r="E26" s="646"/>
      <c r="F26" s="646"/>
      <c r="G26" s="646"/>
      <c r="I26" s="633">
        <v>2</v>
      </c>
    </row>
    <row r="27" spans="1:4" s="633" customFormat="1" ht="15.75">
      <c r="A27" s="580"/>
      <c r="B27" s="629"/>
      <c r="C27" s="629"/>
      <c r="D27" s="16"/>
    </row>
    <row r="28" spans="1:4" s="633" customFormat="1" ht="30">
      <c r="A28" s="580" t="s">
        <v>576</v>
      </c>
      <c r="B28" s="629"/>
      <c r="C28" s="629"/>
      <c r="D28" s="16"/>
    </row>
    <row r="29" spans="1:7" s="633" customFormat="1" ht="86.45" customHeight="1">
      <c r="A29" s="645" t="s">
        <v>661</v>
      </c>
      <c r="B29" s="646"/>
      <c r="C29" s="646"/>
      <c r="D29" s="646"/>
      <c r="E29" s="646"/>
      <c r="F29" s="646"/>
      <c r="G29" s="646"/>
    </row>
    <row r="30" spans="1:7" s="633" customFormat="1" ht="30" customHeight="1">
      <c r="A30" s="645" t="s">
        <v>577</v>
      </c>
      <c r="B30" s="646"/>
      <c r="C30" s="646"/>
      <c r="D30" s="646"/>
      <c r="E30" s="646"/>
      <c r="F30" s="646"/>
      <c r="G30" s="646"/>
    </row>
    <row r="31" spans="1:4" s="633" customFormat="1" ht="15.75">
      <c r="A31" s="629"/>
      <c r="B31" s="629"/>
      <c r="C31" s="629"/>
      <c r="D31" s="16"/>
    </row>
    <row r="32" spans="1:4" s="633" customFormat="1" ht="15.75">
      <c r="A32" s="630" t="s">
        <v>1</v>
      </c>
      <c r="B32" s="629"/>
      <c r="C32" s="629"/>
      <c r="D32" s="16"/>
    </row>
    <row r="33" spans="1:7" s="633" customFormat="1" ht="95.45" customHeight="1" thickBot="1">
      <c r="A33" s="645" t="s">
        <v>662</v>
      </c>
      <c r="B33" s="646"/>
      <c r="C33" s="646"/>
      <c r="D33" s="646"/>
      <c r="E33" s="646"/>
      <c r="F33" s="646">
        <v>9</v>
      </c>
      <c r="G33" s="646"/>
    </row>
    <row r="34" spans="1:6" s="633" customFormat="1" ht="15.75" thickBot="1">
      <c r="A34" s="580"/>
      <c r="B34" s="580"/>
      <c r="C34" s="581">
        <v>1</v>
      </c>
      <c r="D34" s="582">
        <v>2</v>
      </c>
      <c r="E34" s="582">
        <v>3</v>
      </c>
      <c r="F34" s="582">
        <v>4</v>
      </c>
    </row>
    <row r="35" spans="1:6" s="633" customFormat="1" ht="15.75" thickBot="1">
      <c r="A35" s="580"/>
      <c r="B35" s="580"/>
      <c r="C35" s="583" t="s">
        <v>578</v>
      </c>
      <c r="D35" s="584" t="s">
        <v>579</v>
      </c>
      <c r="E35" s="584" t="s">
        <v>580</v>
      </c>
      <c r="F35" s="584" t="s">
        <v>581</v>
      </c>
    </row>
    <row r="36" spans="1:6" s="633" customFormat="1" ht="84.75" thickBot="1">
      <c r="A36" s="580"/>
      <c r="B36" s="580"/>
      <c r="C36" s="585" t="s">
        <v>582</v>
      </c>
      <c r="D36" s="586" t="s">
        <v>583</v>
      </c>
      <c r="E36" s="586" t="s">
        <v>584</v>
      </c>
      <c r="F36" s="586" t="s">
        <v>585</v>
      </c>
    </row>
    <row r="37" spans="1:7" s="633" customFormat="1" ht="15">
      <c r="A37" s="645" t="s">
        <v>663</v>
      </c>
      <c r="B37" s="646"/>
      <c r="C37" s="646"/>
      <c r="D37" s="646"/>
      <c r="E37" s="646"/>
      <c r="F37" s="646">
        <v>2</v>
      </c>
      <c r="G37" s="646"/>
    </row>
    <row r="38" spans="1:4" s="633" customFormat="1" ht="22.15" customHeight="1">
      <c r="A38" s="629"/>
      <c r="B38" s="629"/>
      <c r="C38" s="629"/>
      <c r="D38" s="16"/>
    </row>
    <row r="39" s="630" customFormat="1" ht="14.45" customHeight="1">
      <c r="A39" s="630" t="s">
        <v>664</v>
      </c>
    </row>
    <row r="40" spans="1:7" s="635" customFormat="1" ht="30" customHeight="1">
      <c r="A40" s="652" t="s">
        <v>665</v>
      </c>
      <c r="B40" s="653"/>
      <c r="C40" s="653"/>
      <c r="D40" s="653"/>
      <c r="E40" s="653"/>
      <c r="F40" s="653"/>
      <c r="G40" s="653"/>
    </row>
    <row r="41" spans="1:7" s="633" customFormat="1" ht="13.9" customHeight="1">
      <c r="A41" s="638"/>
      <c r="B41" s="1"/>
      <c r="C41" s="1"/>
      <c r="D41" s="1"/>
      <c r="E41" s="1"/>
      <c r="F41" s="1"/>
      <c r="G41" s="1"/>
    </row>
    <row r="42" spans="1:7" s="633" customFormat="1" ht="15" customHeight="1">
      <c r="A42" s="650" t="s">
        <v>694</v>
      </c>
      <c r="B42" s="651"/>
      <c r="C42" s="651"/>
      <c r="D42" s="651"/>
      <c r="E42" s="651"/>
      <c r="F42" s="651"/>
      <c r="G42" s="651"/>
    </row>
    <row r="43" spans="1:7" s="633" customFormat="1" ht="13.9" customHeight="1">
      <c r="A43" s="638"/>
      <c r="B43" s="1"/>
      <c r="C43" s="1"/>
      <c r="D43" s="1"/>
      <c r="E43" s="1"/>
      <c r="F43" s="1"/>
      <c r="G43" s="1"/>
    </row>
    <row r="44" spans="1:7" s="633" customFormat="1" ht="15" customHeight="1">
      <c r="A44" s="650" t="s">
        <v>666</v>
      </c>
      <c r="B44" s="651"/>
      <c r="C44" s="651"/>
      <c r="D44" s="651"/>
      <c r="E44" s="651"/>
      <c r="F44" s="651"/>
      <c r="G44" s="651"/>
    </row>
    <row r="45" spans="1:7" s="633" customFormat="1" ht="15">
      <c r="A45" s="650"/>
      <c r="B45" s="651"/>
      <c r="C45" s="651"/>
      <c r="D45" s="651"/>
      <c r="E45" s="651"/>
      <c r="F45" s="651"/>
      <c r="G45" s="651"/>
    </row>
    <row r="46" spans="1:7" s="633" customFormat="1" ht="29.45" customHeight="1">
      <c r="A46" s="650" t="s">
        <v>695</v>
      </c>
      <c r="B46" s="651"/>
      <c r="C46" s="651"/>
      <c r="D46" s="651"/>
      <c r="E46" s="651"/>
      <c r="F46" s="651"/>
      <c r="G46" s="651"/>
    </row>
    <row r="47" spans="1:7" s="633" customFormat="1" ht="15">
      <c r="A47" s="650"/>
      <c r="B47" s="651"/>
      <c r="C47" s="651"/>
      <c r="D47" s="651"/>
      <c r="E47" s="651"/>
      <c r="F47" s="651"/>
      <c r="G47" s="651"/>
    </row>
    <row r="48" spans="1:7" s="633" customFormat="1" ht="29.45" customHeight="1">
      <c r="A48" s="650" t="s">
        <v>696</v>
      </c>
      <c r="B48" s="651"/>
      <c r="C48" s="651"/>
      <c r="D48" s="651"/>
      <c r="E48" s="651"/>
      <c r="F48" s="651"/>
      <c r="G48" s="651"/>
    </row>
    <row r="49" spans="1:7" s="633" customFormat="1" ht="31.9" customHeight="1">
      <c r="A49" s="645"/>
      <c r="B49" s="646"/>
      <c r="C49" s="646"/>
      <c r="D49" s="646"/>
      <c r="E49" s="646"/>
      <c r="F49" s="646"/>
      <c r="G49" s="646"/>
    </row>
    <row r="50" s="630" customFormat="1" ht="14.45" customHeight="1">
      <c r="A50" s="630" t="s">
        <v>667</v>
      </c>
    </row>
    <row r="51" spans="1:7" s="633" customFormat="1" ht="81" customHeight="1">
      <c r="A51" s="645" t="s">
        <v>668</v>
      </c>
      <c r="B51" s="646"/>
      <c r="C51" s="646"/>
      <c r="D51" s="646"/>
      <c r="E51" s="646"/>
      <c r="F51" s="646"/>
      <c r="G51" s="646"/>
    </row>
    <row r="52" spans="1:7" s="633" customFormat="1" ht="15">
      <c r="A52" s="645" t="s">
        <v>669</v>
      </c>
      <c r="B52" s="646"/>
      <c r="C52" s="646"/>
      <c r="D52" s="646"/>
      <c r="E52" s="646"/>
      <c r="F52" s="646"/>
      <c r="G52" s="646"/>
    </row>
    <row r="53" spans="1:7" s="633" customFormat="1" ht="42.6" customHeight="1">
      <c r="A53" s="645" t="s">
        <v>670</v>
      </c>
      <c r="B53" s="646"/>
      <c r="C53" s="646"/>
      <c r="D53" s="646"/>
      <c r="E53" s="646"/>
      <c r="F53" s="646"/>
      <c r="G53" s="646"/>
    </row>
  </sheetData>
  <sheetProtection sheet="1" objects="1" scenarios="1"/>
  <mergeCells count="32">
    <mergeCell ref="A29:G29"/>
    <mergeCell ref="A30:G30"/>
    <mergeCell ref="A33:G33"/>
    <mergeCell ref="A37:G37"/>
    <mergeCell ref="A40:G40"/>
    <mergeCell ref="A49:G49"/>
    <mergeCell ref="A51:G51"/>
    <mergeCell ref="A52:G52"/>
    <mergeCell ref="A53:G53"/>
    <mergeCell ref="A42:G42"/>
    <mergeCell ref="A44:G44"/>
    <mergeCell ref="A45:G45"/>
    <mergeCell ref="A46:G46"/>
    <mergeCell ref="A47:G47"/>
    <mergeCell ref="A48:G48"/>
    <mergeCell ref="A20:G20"/>
    <mergeCell ref="D5:G5"/>
    <mergeCell ref="A10:G10"/>
    <mergeCell ref="A11:G11"/>
    <mergeCell ref="A12:G12"/>
    <mergeCell ref="A13:G13"/>
    <mergeCell ref="A14:G14"/>
    <mergeCell ref="A15:G15"/>
    <mergeCell ref="A16:G16"/>
    <mergeCell ref="A17:G17"/>
    <mergeCell ref="A18:G18"/>
    <mergeCell ref="A19:G19"/>
    <mergeCell ref="A21:G21"/>
    <mergeCell ref="A23:G23"/>
    <mergeCell ref="A24:G24"/>
    <mergeCell ref="A25:G25"/>
    <mergeCell ref="A26:G2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45"/>
  <sheetViews>
    <sheetView showGridLines="0" showRowColHeaders="0" workbookViewId="0" topLeftCell="A1">
      <pane ySplit="1" topLeftCell="A119" activePane="bottomLeft" state="frozen"/>
      <selection pane="bottomLeft" activeCell="C145" sqref="C145"/>
    </sheetView>
  </sheetViews>
  <sheetFormatPr defaultColWidth="9.140625" defaultRowHeight="15"/>
  <cols>
    <col min="2" max="2" width="9.8515625" style="0" bestFit="1" customWidth="1"/>
    <col min="3" max="3" width="8.7109375" style="6" bestFit="1" customWidth="1"/>
    <col min="4" max="4" width="7.421875" style="0" bestFit="1" customWidth="1"/>
  </cols>
  <sheetData>
    <row r="1" spans="1:5" ht="15">
      <c r="A1" t="s">
        <v>39</v>
      </c>
      <c r="B1" t="s">
        <v>119</v>
      </c>
      <c r="C1" s="6" t="s">
        <v>99</v>
      </c>
      <c r="D1" t="s">
        <v>100</v>
      </c>
      <c r="E1" t="s">
        <v>101</v>
      </c>
    </row>
    <row r="2" spans="1:5" ht="15">
      <c r="A2" t="s">
        <v>120</v>
      </c>
      <c r="B2" t="e">
        <f>#REF!</f>
        <v>#REF!</v>
      </c>
      <c r="C2" s="6" t="e">
        <f>#REF!</f>
        <v>#REF!</v>
      </c>
      <c r="D2" t="e">
        <f>#REF!</f>
        <v>#REF!</v>
      </c>
      <c r="E2" t="e">
        <f>D2*C2</f>
        <v>#REF!</v>
      </c>
    </row>
    <row r="3" spans="1:5" ht="15">
      <c r="A3" s="6" t="s">
        <v>121</v>
      </c>
      <c r="B3" s="6" t="e">
        <f>#REF!</f>
        <v>#REF!</v>
      </c>
      <c r="C3" s="6" t="e">
        <f>#REF!</f>
        <v>#REF!</v>
      </c>
      <c r="D3" s="6" t="e">
        <f>#REF!</f>
        <v>#REF!</v>
      </c>
      <c r="E3" s="6" t="e">
        <f aca="true" t="shared" si="0" ref="E3:E35">D3*C3</f>
        <v>#REF!</v>
      </c>
    </row>
    <row r="4" spans="1:5" ht="15">
      <c r="A4" s="6" t="s">
        <v>122</v>
      </c>
      <c r="B4" s="6" t="e">
        <f>#REF!</f>
        <v>#REF!</v>
      </c>
      <c r="C4" s="6" t="e">
        <f>#REF!</f>
        <v>#REF!</v>
      </c>
      <c r="D4" s="6" t="e">
        <f>#REF!</f>
        <v>#REF!</v>
      </c>
      <c r="E4" s="6" t="e">
        <f t="shared" si="0"/>
        <v>#REF!</v>
      </c>
    </row>
    <row r="5" spans="1:5" ht="15">
      <c r="A5" s="6" t="s">
        <v>123</v>
      </c>
      <c r="B5" s="6" t="e">
        <f>#REF!</f>
        <v>#REF!</v>
      </c>
      <c r="C5" s="6" t="e">
        <f>#REF!</f>
        <v>#REF!</v>
      </c>
      <c r="D5" s="6" t="e">
        <f>#REF!</f>
        <v>#REF!</v>
      </c>
      <c r="E5" s="6" t="e">
        <f t="shared" si="0"/>
        <v>#REF!</v>
      </c>
    </row>
    <row r="6" spans="1:5" ht="15">
      <c r="A6" s="6" t="s">
        <v>124</v>
      </c>
      <c r="B6" s="6" t="e">
        <f>#REF!</f>
        <v>#REF!</v>
      </c>
      <c r="C6" s="6" t="e">
        <f>#REF!</f>
        <v>#REF!</v>
      </c>
      <c r="D6" s="6" t="e">
        <f>#REF!</f>
        <v>#REF!</v>
      </c>
      <c r="E6" s="6" t="e">
        <f t="shared" si="0"/>
        <v>#REF!</v>
      </c>
    </row>
    <row r="7" spans="1:5" ht="15">
      <c r="A7" s="6" t="s">
        <v>125</v>
      </c>
      <c r="B7" s="6" t="e">
        <f>#REF!</f>
        <v>#REF!</v>
      </c>
      <c r="C7" s="6" t="e">
        <f>#REF!</f>
        <v>#REF!</v>
      </c>
      <c r="D7" s="6" t="e">
        <f>#REF!</f>
        <v>#REF!</v>
      </c>
      <c r="E7" s="6" t="e">
        <f t="shared" si="0"/>
        <v>#REF!</v>
      </c>
    </row>
    <row r="8" spans="1:5" ht="15">
      <c r="A8" s="6" t="s">
        <v>126</v>
      </c>
      <c r="B8" s="6" t="e">
        <f>#REF!</f>
        <v>#REF!</v>
      </c>
      <c r="C8" s="6" t="e">
        <f>#REF!</f>
        <v>#REF!</v>
      </c>
      <c r="D8" s="6" t="e">
        <f>#REF!</f>
        <v>#REF!</v>
      </c>
      <c r="E8" s="6" t="e">
        <f t="shared" si="0"/>
        <v>#REF!</v>
      </c>
    </row>
    <row r="9" spans="1:5" ht="15">
      <c r="A9" s="6" t="s">
        <v>127</v>
      </c>
      <c r="B9" s="6" t="e">
        <f>#REF!</f>
        <v>#REF!</v>
      </c>
      <c r="C9" s="6" t="e">
        <f>#REF!</f>
        <v>#REF!</v>
      </c>
      <c r="D9" s="6" t="e">
        <f>#REF!</f>
        <v>#REF!</v>
      </c>
      <c r="E9" s="6" t="e">
        <f t="shared" si="0"/>
        <v>#REF!</v>
      </c>
    </row>
    <row r="10" spans="1:5" ht="15">
      <c r="A10" s="6" t="s">
        <v>128</v>
      </c>
      <c r="B10" s="6" t="e">
        <f>#REF!</f>
        <v>#REF!</v>
      </c>
      <c r="C10" s="6" t="e">
        <f>#REF!</f>
        <v>#REF!</v>
      </c>
      <c r="D10" s="6" t="e">
        <f>#REF!</f>
        <v>#REF!</v>
      </c>
      <c r="E10" s="6" t="e">
        <f t="shared" si="0"/>
        <v>#REF!</v>
      </c>
    </row>
    <row r="11" spans="1:5" ht="15">
      <c r="A11" s="6" t="s">
        <v>129</v>
      </c>
      <c r="B11" s="6" t="e">
        <f>#REF!</f>
        <v>#REF!</v>
      </c>
      <c r="C11" s="6" t="e">
        <f>#REF!</f>
        <v>#REF!</v>
      </c>
      <c r="D11" s="6" t="e">
        <f>#REF!</f>
        <v>#REF!</v>
      </c>
      <c r="E11" s="6" t="e">
        <f t="shared" si="0"/>
        <v>#REF!</v>
      </c>
    </row>
    <row r="12" spans="1:5" ht="15">
      <c r="A12" t="s">
        <v>130</v>
      </c>
      <c r="B12" s="6" t="e">
        <f>#REF!</f>
        <v>#REF!</v>
      </c>
      <c r="C12" s="6" t="e">
        <f>#REF!</f>
        <v>#REF!</v>
      </c>
      <c r="D12" s="6" t="e">
        <f>#REF!</f>
        <v>#REF!</v>
      </c>
      <c r="E12" s="6" t="e">
        <f t="shared" si="0"/>
        <v>#REF!</v>
      </c>
    </row>
    <row r="13" spans="1:5" ht="15">
      <c r="A13" s="6" t="s">
        <v>131</v>
      </c>
      <c r="B13" s="6" t="e">
        <f>#REF!</f>
        <v>#REF!</v>
      </c>
      <c r="C13" s="6" t="e">
        <f>#REF!</f>
        <v>#REF!</v>
      </c>
      <c r="D13" s="6" t="e">
        <f>#REF!</f>
        <v>#REF!</v>
      </c>
      <c r="E13" s="6" t="e">
        <f t="shared" si="0"/>
        <v>#REF!</v>
      </c>
    </row>
    <row r="14" spans="1:5" ht="15">
      <c r="A14" s="6" t="s">
        <v>132</v>
      </c>
      <c r="B14" s="6" t="e">
        <f>#REF!</f>
        <v>#REF!</v>
      </c>
      <c r="C14" s="6" t="e">
        <f>#REF!</f>
        <v>#REF!</v>
      </c>
      <c r="D14" s="6" t="e">
        <f>#REF!</f>
        <v>#REF!</v>
      </c>
      <c r="E14" s="6" t="e">
        <f t="shared" si="0"/>
        <v>#REF!</v>
      </c>
    </row>
    <row r="15" spans="1:5" ht="15">
      <c r="A15" s="6" t="s">
        <v>133</v>
      </c>
      <c r="B15" s="6" t="e">
        <f>#REF!</f>
        <v>#REF!</v>
      </c>
      <c r="C15" s="6" t="e">
        <f>#REF!</f>
        <v>#REF!</v>
      </c>
      <c r="D15" s="6" t="e">
        <f>#REF!</f>
        <v>#REF!</v>
      </c>
      <c r="E15" s="6" t="e">
        <f t="shared" si="0"/>
        <v>#REF!</v>
      </c>
    </row>
    <row r="16" spans="1:5" ht="15">
      <c r="A16" s="6" t="s">
        <v>134</v>
      </c>
      <c r="B16" s="6" t="e">
        <f>#REF!</f>
        <v>#REF!</v>
      </c>
      <c r="C16" s="6" t="e">
        <f>#REF!</f>
        <v>#REF!</v>
      </c>
      <c r="D16" s="6" t="e">
        <f>#REF!</f>
        <v>#REF!</v>
      </c>
      <c r="E16" s="6" t="e">
        <f t="shared" si="0"/>
        <v>#REF!</v>
      </c>
    </row>
    <row r="17" spans="1:5" ht="15">
      <c r="A17" s="6" t="s">
        <v>135</v>
      </c>
      <c r="B17" s="6" t="e">
        <f>#REF!</f>
        <v>#REF!</v>
      </c>
      <c r="C17" s="6" t="e">
        <f>#REF!</f>
        <v>#REF!</v>
      </c>
      <c r="D17" s="6" t="e">
        <f>#REF!</f>
        <v>#REF!</v>
      </c>
      <c r="E17" s="6" t="e">
        <f t="shared" si="0"/>
        <v>#REF!</v>
      </c>
    </row>
    <row r="18" spans="1:5" ht="15">
      <c r="A18" s="6" t="s">
        <v>136</v>
      </c>
      <c r="B18" s="6" t="e">
        <f>#REF!</f>
        <v>#REF!</v>
      </c>
      <c r="C18" s="6" t="e">
        <f>#REF!</f>
        <v>#REF!</v>
      </c>
      <c r="D18" s="6" t="e">
        <f>#REF!</f>
        <v>#REF!</v>
      </c>
      <c r="E18" s="6" t="e">
        <f t="shared" si="0"/>
        <v>#REF!</v>
      </c>
    </row>
    <row r="19" spans="1:5" ht="15">
      <c r="A19" s="6" t="s">
        <v>137</v>
      </c>
      <c r="B19" s="6" t="e">
        <f>#REF!</f>
        <v>#REF!</v>
      </c>
      <c r="C19" s="6" t="e">
        <f>#REF!</f>
        <v>#REF!</v>
      </c>
      <c r="D19" s="6" t="e">
        <f>#REF!</f>
        <v>#REF!</v>
      </c>
      <c r="E19" s="6" t="e">
        <f t="shared" si="0"/>
        <v>#REF!</v>
      </c>
    </row>
    <row r="20" spans="1:5" ht="15">
      <c r="A20" s="6" t="s">
        <v>138</v>
      </c>
      <c r="B20" s="6" t="e">
        <f>#REF!</f>
        <v>#REF!</v>
      </c>
      <c r="C20" s="6" t="e">
        <f>#REF!</f>
        <v>#REF!</v>
      </c>
      <c r="D20" s="6" t="e">
        <f>#REF!</f>
        <v>#REF!</v>
      </c>
      <c r="E20" s="6" t="e">
        <f t="shared" si="0"/>
        <v>#REF!</v>
      </c>
    </row>
    <row r="21" spans="1:5" ht="15">
      <c r="A21" s="6" t="s">
        <v>139</v>
      </c>
      <c r="B21" s="6" t="e">
        <f>#REF!</f>
        <v>#REF!</v>
      </c>
      <c r="C21" s="6" t="e">
        <f>#REF!</f>
        <v>#REF!</v>
      </c>
      <c r="D21" s="6" t="e">
        <f>#REF!</f>
        <v>#REF!</v>
      </c>
      <c r="E21" s="6" t="e">
        <f t="shared" si="0"/>
        <v>#REF!</v>
      </c>
    </row>
    <row r="22" spans="1:5" ht="15">
      <c r="A22" s="6" t="s">
        <v>140</v>
      </c>
      <c r="B22" s="6" t="e">
        <f>#REF!</f>
        <v>#REF!</v>
      </c>
      <c r="C22" s="6" t="e">
        <f>#REF!</f>
        <v>#REF!</v>
      </c>
      <c r="D22" s="6" t="e">
        <f>#REF!</f>
        <v>#REF!</v>
      </c>
      <c r="E22" s="6" t="e">
        <f t="shared" si="0"/>
        <v>#REF!</v>
      </c>
    </row>
    <row r="23" spans="1:5" ht="15">
      <c r="A23" s="6" t="s">
        <v>141</v>
      </c>
      <c r="B23" s="6" t="e">
        <f>#REF!</f>
        <v>#REF!</v>
      </c>
      <c r="C23" s="6" t="e">
        <f>#REF!</f>
        <v>#REF!</v>
      </c>
      <c r="D23" s="6" t="e">
        <f>#REF!</f>
        <v>#REF!</v>
      </c>
      <c r="E23" s="6" t="e">
        <f t="shared" si="0"/>
        <v>#REF!</v>
      </c>
    </row>
    <row r="24" spans="1:5" ht="15">
      <c r="A24" s="6" t="s">
        <v>142</v>
      </c>
      <c r="B24" s="6" t="e">
        <f>#REF!</f>
        <v>#REF!</v>
      </c>
      <c r="C24" s="6" t="e">
        <f>#REF!</f>
        <v>#REF!</v>
      </c>
      <c r="D24" s="6" t="e">
        <f>#REF!</f>
        <v>#REF!</v>
      </c>
      <c r="E24" s="6" t="e">
        <f t="shared" si="0"/>
        <v>#REF!</v>
      </c>
    </row>
    <row r="25" spans="1:5" ht="15">
      <c r="A25" s="6" t="s">
        <v>143</v>
      </c>
      <c r="B25" s="6" t="e">
        <f>#REF!</f>
        <v>#REF!</v>
      </c>
      <c r="C25" s="6" t="e">
        <f>#REF!</f>
        <v>#REF!</v>
      </c>
      <c r="D25" s="6" t="e">
        <f>#REF!</f>
        <v>#REF!</v>
      </c>
      <c r="E25" s="6" t="e">
        <f t="shared" si="0"/>
        <v>#REF!</v>
      </c>
    </row>
    <row r="26" spans="1:5" ht="15">
      <c r="A26" s="6" t="s">
        <v>144</v>
      </c>
      <c r="B26" s="6" t="e">
        <f>#REF!</f>
        <v>#REF!</v>
      </c>
      <c r="C26" s="6" t="e">
        <f>#REF!</f>
        <v>#REF!</v>
      </c>
      <c r="D26" s="6" t="e">
        <f>#REF!</f>
        <v>#REF!</v>
      </c>
      <c r="E26" s="6" t="e">
        <f t="shared" si="0"/>
        <v>#REF!</v>
      </c>
    </row>
    <row r="27" spans="1:5" ht="15">
      <c r="A27" s="6" t="s">
        <v>145</v>
      </c>
      <c r="B27" s="6" t="e">
        <f>#REF!</f>
        <v>#REF!</v>
      </c>
      <c r="C27" s="6" t="e">
        <f>#REF!</f>
        <v>#REF!</v>
      </c>
      <c r="D27" s="6" t="e">
        <f>#REF!</f>
        <v>#REF!</v>
      </c>
      <c r="E27" s="6" t="e">
        <f t="shared" si="0"/>
        <v>#REF!</v>
      </c>
    </row>
    <row r="28" spans="1:5" ht="15">
      <c r="A28" s="6" t="s">
        <v>146</v>
      </c>
      <c r="B28" s="6" t="e">
        <f>#REF!</f>
        <v>#REF!</v>
      </c>
      <c r="C28" s="6" t="e">
        <f>#REF!</f>
        <v>#REF!</v>
      </c>
      <c r="D28" s="6" t="e">
        <f>#REF!</f>
        <v>#REF!</v>
      </c>
      <c r="E28" s="6" t="e">
        <f t="shared" si="0"/>
        <v>#REF!</v>
      </c>
    </row>
    <row r="29" spans="1:5" ht="15">
      <c r="A29" s="6" t="s">
        <v>147</v>
      </c>
      <c r="B29" s="6" t="e">
        <f>#REF!</f>
        <v>#REF!</v>
      </c>
      <c r="C29" s="6" t="e">
        <f>#REF!</f>
        <v>#REF!</v>
      </c>
      <c r="D29" s="6" t="e">
        <f>#REF!</f>
        <v>#REF!</v>
      </c>
      <c r="E29" s="6" t="e">
        <f t="shared" si="0"/>
        <v>#REF!</v>
      </c>
    </row>
    <row r="30" spans="1:5" ht="15">
      <c r="A30" s="6" t="s">
        <v>148</v>
      </c>
      <c r="B30" s="6" t="e">
        <f>#REF!</f>
        <v>#REF!</v>
      </c>
      <c r="C30" s="6" t="e">
        <f>#REF!</f>
        <v>#REF!</v>
      </c>
      <c r="D30" s="6" t="e">
        <f>#REF!</f>
        <v>#REF!</v>
      </c>
      <c r="E30" s="6" t="e">
        <f t="shared" si="0"/>
        <v>#REF!</v>
      </c>
    </row>
    <row r="31" spans="1:5" ht="15">
      <c r="A31" s="6" t="s">
        <v>149</v>
      </c>
      <c r="B31" s="6" t="e">
        <f>#REF!</f>
        <v>#REF!</v>
      </c>
      <c r="C31" s="6" t="e">
        <f>#REF!</f>
        <v>#REF!</v>
      </c>
      <c r="D31" s="6" t="e">
        <f>#REF!</f>
        <v>#REF!</v>
      </c>
      <c r="E31" s="6" t="e">
        <f t="shared" si="0"/>
        <v>#REF!</v>
      </c>
    </row>
    <row r="32" spans="1:5" ht="15">
      <c r="A32" s="6" t="s">
        <v>150</v>
      </c>
      <c r="B32" s="6" t="e">
        <f>#REF!</f>
        <v>#REF!</v>
      </c>
      <c r="C32" s="6" t="e">
        <f>#REF!</f>
        <v>#REF!</v>
      </c>
      <c r="D32" s="6" t="e">
        <f>#REF!</f>
        <v>#REF!</v>
      </c>
      <c r="E32" s="6" t="e">
        <f t="shared" si="0"/>
        <v>#REF!</v>
      </c>
    </row>
    <row r="33" spans="1:5" ht="15">
      <c r="A33" s="6" t="s">
        <v>151</v>
      </c>
      <c r="B33" s="6" t="e">
        <f>#REF!</f>
        <v>#REF!</v>
      </c>
      <c r="C33" s="6" t="e">
        <f>#REF!</f>
        <v>#REF!</v>
      </c>
      <c r="D33" s="6" t="e">
        <f>#REF!</f>
        <v>#REF!</v>
      </c>
      <c r="E33" s="6" t="e">
        <f t="shared" si="0"/>
        <v>#REF!</v>
      </c>
    </row>
    <row r="34" spans="1:5" ht="15">
      <c r="A34" s="6" t="s">
        <v>152</v>
      </c>
      <c r="B34" s="6" t="e">
        <f>#REF!</f>
        <v>#REF!</v>
      </c>
      <c r="C34" s="6" t="e">
        <f>#REF!</f>
        <v>#REF!</v>
      </c>
      <c r="D34" s="6" t="e">
        <f>#REF!</f>
        <v>#REF!</v>
      </c>
      <c r="E34" s="6" t="e">
        <f t="shared" si="0"/>
        <v>#REF!</v>
      </c>
    </row>
    <row r="35" spans="1:5" ht="15">
      <c r="A35" s="6" t="s">
        <v>153</v>
      </c>
      <c r="B35" s="6" t="e">
        <f>#REF!</f>
        <v>#REF!</v>
      </c>
      <c r="C35" s="6" t="e">
        <f>#REF!</f>
        <v>#REF!</v>
      </c>
      <c r="D35" s="6" t="e">
        <f>#REF!</f>
        <v>#REF!</v>
      </c>
      <c r="E35" s="6" t="e">
        <f t="shared" si="0"/>
        <v>#REF!</v>
      </c>
    </row>
    <row r="36" spans="1:5" s="6" customFormat="1" ht="15">
      <c r="A36" s="6" t="s">
        <v>174</v>
      </c>
      <c r="C36" s="6" t="e">
        <f>#REF!</f>
        <v>#REF!</v>
      </c>
      <c r="D36" s="6" t="e">
        <f>#REF!</f>
        <v>#REF!</v>
      </c>
      <c r="E36" s="6" t="e">
        <f>D36*C36</f>
        <v>#REF!</v>
      </c>
    </row>
    <row r="37" spans="1:5" ht="15">
      <c r="A37" t="s">
        <v>154</v>
      </c>
      <c r="B37" t="e">
        <f>#REF!</f>
        <v>#REF!</v>
      </c>
      <c r="C37" s="6" t="e">
        <f>#REF!</f>
        <v>#REF!</v>
      </c>
      <c r="D37" s="6" t="e">
        <f>#REF!</f>
        <v>#REF!</v>
      </c>
      <c r="E37" s="6" t="e">
        <f aca="true" t="shared" si="1" ref="E37:E97">D37*C37</f>
        <v>#REF!</v>
      </c>
    </row>
    <row r="38" spans="1:5" ht="15">
      <c r="A38" s="6" t="s">
        <v>155</v>
      </c>
      <c r="B38" s="6" t="e">
        <f>#REF!</f>
        <v>#REF!</v>
      </c>
      <c r="C38" s="6" t="e">
        <f>#REF!</f>
        <v>#REF!</v>
      </c>
      <c r="D38" s="6" t="e">
        <f>#REF!</f>
        <v>#REF!</v>
      </c>
      <c r="E38" s="6" t="e">
        <f t="shared" si="1"/>
        <v>#REF!</v>
      </c>
    </row>
    <row r="39" spans="1:5" ht="15">
      <c r="A39" s="6" t="s">
        <v>156</v>
      </c>
      <c r="B39" s="6" t="e">
        <f>#REF!</f>
        <v>#REF!</v>
      </c>
      <c r="C39" s="6" t="e">
        <f>#REF!</f>
        <v>#REF!</v>
      </c>
      <c r="D39" s="6" t="e">
        <f>#REF!</f>
        <v>#REF!</v>
      </c>
      <c r="E39" s="6" t="e">
        <f t="shared" si="1"/>
        <v>#REF!</v>
      </c>
    </row>
    <row r="40" spans="1:5" ht="15">
      <c r="A40" s="6" t="s">
        <v>157</v>
      </c>
      <c r="B40" s="6" t="e">
        <f>#REF!</f>
        <v>#REF!</v>
      </c>
      <c r="C40" s="6" t="e">
        <f>#REF!</f>
        <v>#REF!</v>
      </c>
      <c r="D40" s="6" t="e">
        <f>#REF!</f>
        <v>#REF!</v>
      </c>
      <c r="E40" s="6" t="e">
        <f t="shared" si="1"/>
        <v>#REF!</v>
      </c>
    </row>
    <row r="41" spans="1:5" s="6" customFormat="1" ht="15">
      <c r="A41" s="6" t="s">
        <v>175</v>
      </c>
      <c r="C41" s="6" t="e">
        <f>TOTAAL112</f>
        <v>#NAME?</v>
      </c>
      <c r="D41" s="6" t="e">
        <f>#REF!</f>
        <v>#REF!</v>
      </c>
      <c r="E41" s="6" t="e">
        <f t="shared" si="1"/>
        <v>#REF!</v>
      </c>
    </row>
    <row r="42" spans="1:5" ht="15">
      <c r="A42" t="s">
        <v>25</v>
      </c>
      <c r="B42" t="e">
        <f>#REF!</f>
        <v>#REF!</v>
      </c>
      <c r="C42" s="6" t="e">
        <f>#REF!</f>
        <v>#REF!</v>
      </c>
      <c r="D42" s="6" t="e">
        <f>#REF!</f>
        <v>#REF!</v>
      </c>
      <c r="E42" s="6" t="e">
        <f t="shared" si="1"/>
        <v>#REF!</v>
      </c>
    </row>
    <row r="43" spans="1:5" ht="15">
      <c r="A43" t="s">
        <v>26</v>
      </c>
      <c r="B43" s="6" t="e">
        <f>#REF!</f>
        <v>#REF!</v>
      </c>
      <c r="C43" s="6" t="e">
        <f>#REF!</f>
        <v>#REF!</v>
      </c>
      <c r="D43" s="6" t="e">
        <f>#REF!</f>
        <v>#REF!</v>
      </c>
      <c r="E43" s="6" t="e">
        <f t="shared" si="1"/>
        <v>#REF!</v>
      </c>
    </row>
    <row r="44" spans="1:5" ht="15">
      <c r="A44" s="6" t="s">
        <v>27</v>
      </c>
      <c r="B44" s="6" t="e">
        <f>#REF!</f>
        <v>#REF!</v>
      </c>
      <c r="C44" s="6" t="e">
        <f>#REF!</f>
        <v>#REF!</v>
      </c>
      <c r="D44" s="6" t="e">
        <f>#REF!</f>
        <v>#REF!</v>
      </c>
      <c r="E44" s="6" t="e">
        <f t="shared" si="1"/>
        <v>#REF!</v>
      </c>
    </row>
    <row r="45" spans="1:5" ht="15">
      <c r="A45" s="6" t="s">
        <v>28</v>
      </c>
      <c r="B45" s="6" t="e">
        <f>#REF!</f>
        <v>#REF!</v>
      </c>
      <c r="C45" s="6" t="e">
        <f>#REF!</f>
        <v>#REF!</v>
      </c>
      <c r="D45" s="6" t="e">
        <f>#REF!</f>
        <v>#REF!</v>
      </c>
      <c r="E45" s="6" t="e">
        <f t="shared" si="1"/>
        <v>#REF!</v>
      </c>
    </row>
    <row r="46" spans="1:5" s="6" customFormat="1" ht="15">
      <c r="A46" s="6" t="s">
        <v>176</v>
      </c>
      <c r="C46" s="6" t="e">
        <f>#REF!</f>
        <v>#REF!</v>
      </c>
      <c r="D46" s="6" t="e">
        <f>#REF!</f>
        <v>#REF!</v>
      </c>
      <c r="E46" s="6" t="e">
        <f t="shared" si="1"/>
        <v>#REF!</v>
      </c>
    </row>
    <row r="47" spans="1:5" ht="15">
      <c r="A47" t="s">
        <v>29</v>
      </c>
      <c r="B47" s="6" t="e">
        <f>#REF!</f>
        <v>#REF!</v>
      </c>
      <c r="C47" s="6" t="e">
        <f>#REF!</f>
        <v>#REF!</v>
      </c>
      <c r="D47" s="6" t="e">
        <f>#REF!</f>
        <v>#REF!</v>
      </c>
      <c r="E47" s="6" t="e">
        <f t="shared" si="1"/>
        <v>#REF!</v>
      </c>
    </row>
    <row r="48" spans="1:5" ht="15">
      <c r="A48" t="s">
        <v>30</v>
      </c>
      <c r="B48" s="6" t="e">
        <f>#REF!</f>
        <v>#REF!</v>
      </c>
      <c r="C48" s="6" t="e">
        <f>#REF!</f>
        <v>#REF!</v>
      </c>
      <c r="D48" s="6" t="e">
        <f>#REF!</f>
        <v>#REF!</v>
      </c>
      <c r="E48" s="6" t="e">
        <f t="shared" si="1"/>
        <v>#REF!</v>
      </c>
    </row>
    <row r="49" spans="1:5" s="6" customFormat="1" ht="15">
      <c r="A49" s="6" t="s">
        <v>177</v>
      </c>
      <c r="C49" s="6" t="e">
        <f>#REF!</f>
        <v>#REF!</v>
      </c>
      <c r="D49" s="6" t="e">
        <f>#REF!</f>
        <v>#REF!</v>
      </c>
      <c r="E49" s="6" t="e">
        <f t="shared" si="1"/>
        <v>#REF!</v>
      </c>
    </row>
    <row r="50" spans="1:5" ht="15">
      <c r="A50" t="s">
        <v>32</v>
      </c>
      <c r="B50" t="e">
        <f>#REF!</f>
        <v>#REF!</v>
      </c>
      <c r="C50" s="6" t="e">
        <f>#REF!</f>
        <v>#REF!</v>
      </c>
      <c r="D50" s="6" t="e">
        <f>#REF!</f>
        <v>#REF!</v>
      </c>
      <c r="E50" s="6" t="e">
        <f t="shared" si="1"/>
        <v>#REF!</v>
      </c>
    </row>
    <row r="51" spans="1:5" ht="15">
      <c r="A51" t="s">
        <v>33</v>
      </c>
      <c r="B51" s="6" t="e">
        <f>#REF!</f>
        <v>#REF!</v>
      </c>
      <c r="C51" s="6" t="e">
        <f>#REF!</f>
        <v>#REF!</v>
      </c>
      <c r="D51" s="6" t="e">
        <f>#REF!</f>
        <v>#REF!</v>
      </c>
      <c r="E51" s="6" t="e">
        <f t="shared" si="1"/>
        <v>#REF!</v>
      </c>
    </row>
    <row r="52" spans="1:5" ht="15">
      <c r="A52" s="6" t="s">
        <v>34</v>
      </c>
      <c r="B52" s="6" t="e">
        <f>#REF!</f>
        <v>#REF!</v>
      </c>
      <c r="C52" s="6" t="e">
        <f>#REF!</f>
        <v>#REF!</v>
      </c>
      <c r="D52" s="6" t="e">
        <f>#REF!</f>
        <v>#REF!</v>
      </c>
      <c r="E52" s="6" t="e">
        <f t="shared" si="1"/>
        <v>#REF!</v>
      </c>
    </row>
    <row r="53" spans="1:5" ht="15">
      <c r="A53" s="6" t="s">
        <v>35</v>
      </c>
      <c r="B53" s="6" t="e">
        <f>#REF!</f>
        <v>#REF!</v>
      </c>
      <c r="C53" s="6" t="e">
        <f>#REF!</f>
        <v>#REF!</v>
      </c>
      <c r="D53" s="6" t="e">
        <f>#REF!</f>
        <v>#REF!</v>
      </c>
      <c r="E53" s="6" t="e">
        <f t="shared" si="1"/>
        <v>#REF!</v>
      </c>
    </row>
    <row r="54" spans="1:5" s="6" customFormat="1" ht="15">
      <c r="A54" s="6" t="s">
        <v>178</v>
      </c>
      <c r="C54" s="6" t="e">
        <f>#REF!</f>
        <v>#REF!</v>
      </c>
      <c r="D54" s="6" t="e">
        <f>#REF!</f>
        <v>#REF!</v>
      </c>
      <c r="E54" s="6" t="e">
        <f t="shared" si="1"/>
        <v>#REF!</v>
      </c>
    </row>
    <row r="55" spans="1:5" ht="15">
      <c r="A55" t="s">
        <v>38</v>
      </c>
      <c r="B55" s="6" t="e">
        <f>#REF!</f>
        <v>#REF!</v>
      </c>
      <c r="C55" s="6" t="e">
        <f>#REF!</f>
        <v>#REF!</v>
      </c>
      <c r="D55" s="6" t="e">
        <f>#REF!</f>
        <v>#REF!</v>
      </c>
      <c r="E55" s="6" t="e">
        <f t="shared" si="1"/>
        <v>#REF!</v>
      </c>
    </row>
    <row r="56" spans="1:5" ht="15">
      <c r="A56" t="s">
        <v>40</v>
      </c>
      <c r="B56" s="6" t="e">
        <f>#REF!</f>
        <v>#REF!</v>
      </c>
      <c r="C56" s="6" t="e">
        <f>#REF!</f>
        <v>#REF!</v>
      </c>
      <c r="D56" s="6" t="e">
        <f>#REF!</f>
        <v>#REF!</v>
      </c>
      <c r="E56" s="6" t="e">
        <f t="shared" si="1"/>
        <v>#REF!</v>
      </c>
    </row>
    <row r="57" spans="1:5" ht="15">
      <c r="A57" s="6" t="s">
        <v>41</v>
      </c>
      <c r="B57" s="6" t="e">
        <f>#REF!</f>
        <v>#REF!</v>
      </c>
      <c r="C57" s="6" t="e">
        <f>#REF!</f>
        <v>#REF!</v>
      </c>
      <c r="D57" s="6" t="e">
        <f>#REF!</f>
        <v>#REF!</v>
      </c>
      <c r="E57" s="6" t="e">
        <f t="shared" si="1"/>
        <v>#REF!</v>
      </c>
    </row>
    <row r="58" spans="1:5" ht="15">
      <c r="A58" s="6" t="s">
        <v>42</v>
      </c>
      <c r="B58" s="6" t="e">
        <f>#REF!</f>
        <v>#REF!</v>
      </c>
      <c r="C58" s="6" t="e">
        <f>#REF!</f>
        <v>#REF!</v>
      </c>
      <c r="D58" s="6" t="e">
        <f>#REF!</f>
        <v>#REF!</v>
      </c>
      <c r="E58" s="6" t="e">
        <f t="shared" si="1"/>
        <v>#REF!</v>
      </c>
    </row>
    <row r="59" spans="1:5" ht="15">
      <c r="A59" s="6" t="s">
        <v>43</v>
      </c>
      <c r="B59" s="6" t="e">
        <f>#REF!</f>
        <v>#REF!</v>
      </c>
      <c r="C59" s="6" t="e">
        <f>#REF!</f>
        <v>#REF!</v>
      </c>
      <c r="D59" s="6" t="e">
        <f>#REF!</f>
        <v>#REF!</v>
      </c>
      <c r="E59" s="6" t="e">
        <f t="shared" si="1"/>
        <v>#REF!</v>
      </c>
    </row>
    <row r="60" spans="1:5" s="6" customFormat="1" ht="15">
      <c r="A60" s="6" t="s">
        <v>179</v>
      </c>
      <c r="C60" s="6" t="e">
        <f>#REF!</f>
        <v>#REF!</v>
      </c>
      <c r="D60" s="6" t="e">
        <f>#REF!</f>
        <v>#REF!</v>
      </c>
      <c r="E60" s="6" t="e">
        <f t="shared" si="1"/>
        <v>#REF!</v>
      </c>
    </row>
    <row r="61" spans="1:5" ht="15">
      <c r="A61" t="s">
        <v>44</v>
      </c>
      <c r="B61" s="6" t="e">
        <f>#REF!</f>
        <v>#REF!</v>
      </c>
      <c r="C61" s="6" t="e">
        <f>#REF!</f>
        <v>#REF!</v>
      </c>
      <c r="D61" s="6" t="e">
        <f>#REF!</f>
        <v>#REF!</v>
      </c>
      <c r="E61" s="6" t="e">
        <f t="shared" si="1"/>
        <v>#REF!</v>
      </c>
    </row>
    <row r="62" spans="1:5" ht="15">
      <c r="A62" s="6" t="s">
        <v>46</v>
      </c>
      <c r="B62" s="6" t="e">
        <f>#REF!</f>
        <v>#REF!</v>
      </c>
      <c r="C62" s="6" t="e">
        <f>#REF!</f>
        <v>#REF!</v>
      </c>
      <c r="D62" s="6" t="e">
        <f>#REF!</f>
        <v>#REF!</v>
      </c>
      <c r="E62" s="6" t="e">
        <f t="shared" si="1"/>
        <v>#REF!</v>
      </c>
    </row>
    <row r="63" spans="1:5" ht="15">
      <c r="A63" s="6" t="s">
        <v>47</v>
      </c>
      <c r="B63" s="6" t="e">
        <f>#REF!</f>
        <v>#REF!</v>
      </c>
      <c r="C63" s="6" t="e">
        <f>#REF!</f>
        <v>#REF!</v>
      </c>
      <c r="D63" s="6" t="e">
        <f>#REF!</f>
        <v>#REF!</v>
      </c>
      <c r="E63" s="6" t="e">
        <f t="shared" si="1"/>
        <v>#REF!</v>
      </c>
    </row>
    <row r="64" spans="1:5" ht="15">
      <c r="A64" s="6" t="s">
        <v>48</v>
      </c>
      <c r="B64" s="6" t="e">
        <f>#REF!</f>
        <v>#REF!</v>
      </c>
      <c r="C64" s="6" t="e">
        <f>#REF!</f>
        <v>#REF!</v>
      </c>
      <c r="D64" s="6" t="e">
        <f>#REF!</f>
        <v>#REF!</v>
      </c>
      <c r="E64" s="6" t="e">
        <f t="shared" si="1"/>
        <v>#REF!</v>
      </c>
    </row>
    <row r="65" spans="1:5" ht="15">
      <c r="A65" s="6" t="s">
        <v>49</v>
      </c>
      <c r="B65" s="6" t="e">
        <f>#REF!</f>
        <v>#REF!</v>
      </c>
      <c r="C65" s="6" t="e">
        <f>#REF!</f>
        <v>#REF!</v>
      </c>
      <c r="D65" s="6" t="e">
        <f>#REF!</f>
        <v>#REF!</v>
      </c>
      <c r="E65" s="6" t="e">
        <f t="shared" si="1"/>
        <v>#REF!</v>
      </c>
    </row>
    <row r="66" spans="1:5" ht="15">
      <c r="A66" s="6" t="s">
        <v>50</v>
      </c>
      <c r="B66" s="6" t="e">
        <f>#REF!</f>
        <v>#REF!</v>
      </c>
      <c r="C66" s="6" t="e">
        <f>#REF!</f>
        <v>#REF!</v>
      </c>
      <c r="D66" s="6" t="e">
        <f>#REF!</f>
        <v>#REF!</v>
      </c>
      <c r="E66" s="6" t="e">
        <f t="shared" si="1"/>
        <v>#REF!</v>
      </c>
    </row>
    <row r="67" spans="1:5" ht="15">
      <c r="A67" s="6" t="s">
        <v>51</v>
      </c>
      <c r="B67" s="6" t="e">
        <f>#REF!</f>
        <v>#REF!</v>
      </c>
      <c r="C67" s="6" t="e">
        <f>#REF!</f>
        <v>#REF!</v>
      </c>
      <c r="D67" s="6" t="e">
        <f>#REF!</f>
        <v>#REF!</v>
      </c>
      <c r="E67" s="6" t="e">
        <f t="shared" si="1"/>
        <v>#REF!</v>
      </c>
    </row>
    <row r="68" spans="1:5" ht="15">
      <c r="A68" s="6" t="s">
        <v>52</v>
      </c>
      <c r="B68" s="6" t="e">
        <f>#REF!</f>
        <v>#REF!</v>
      </c>
      <c r="C68" s="6" t="e">
        <f>#REF!</f>
        <v>#REF!</v>
      </c>
      <c r="D68" s="6" t="e">
        <f>#REF!</f>
        <v>#REF!</v>
      </c>
      <c r="E68" s="6" t="e">
        <f t="shared" si="1"/>
        <v>#REF!</v>
      </c>
    </row>
    <row r="69" spans="1:5" s="6" customFormat="1" ht="15">
      <c r="A69" s="6" t="s">
        <v>180</v>
      </c>
      <c r="C69" s="6" t="e">
        <f>#REF!</f>
        <v>#REF!</v>
      </c>
      <c r="D69" s="6" t="e">
        <f>#REF!</f>
        <v>#REF!</v>
      </c>
      <c r="E69" s="6" t="e">
        <f t="shared" si="1"/>
        <v>#REF!</v>
      </c>
    </row>
    <row r="70" spans="1:5" ht="15">
      <c r="A70" t="s">
        <v>53</v>
      </c>
      <c r="B70" s="6" t="e">
        <f>#REF!</f>
        <v>#REF!</v>
      </c>
      <c r="C70" s="6" t="e">
        <f>#REF!</f>
        <v>#REF!</v>
      </c>
      <c r="D70" s="6" t="e">
        <f>#REF!</f>
        <v>#REF!</v>
      </c>
      <c r="E70" s="6" t="e">
        <f t="shared" si="1"/>
        <v>#REF!</v>
      </c>
    </row>
    <row r="71" spans="1:5" ht="15">
      <c r="A71" s="6" t="s">
        <v>54</v>
      </c>
      <c r="B71" s="6" t="e">
        <f>#REF!</f>
        <v>#REF!</v>
      </c>
      <c r="C71" s="6" t="e">
        <f>#REF!</f>
        <v>#REF!</v>
      </c>
      <c r="D71" s="6" t="e">
        <f>#REF!</f>
        <v>#REF!</v>
      </c>
      <c r="E71" s="6" t="e">
        <f t="shared" si="1"/>
        <v>#REF!</v>
      </c>
    </row>
    <row r="72" spans="1:5" ht="15">
      <c r="A72" s="6" t="s">
        <v>55</v>
      </c>
      <c r="B72" s="6" t="e">
        <f>#REF!</f>
        <v>#REF!</v>
      </c>
      <c r="C72" s="6" t="e">
        <f>#REF!</f>
        <v>#REF!</v>
      </c>
      <c r="D72" s="6" t="e">
        <f>#REF!</f>
        <v>#REF!</v>
      </c>
      <c r="E72" s="6" t="e">
        <f t="shared" si="1"/>
        <v>#REF!</v>
      </c>
    </row>
    <row r="73" spans="1:5" ht="15">
      <c r="A73" s="6" t="s">
        <v>56</v>
      </c>
      <c r="B73" s="6" t="e">
        <f>#REF!</f>
        <v>#REF!</v>
      </c>
      <c r="C73" s="6" t="e">
        <f>#REF!</f>
        <v>#REF!</v>
      </c>
      <c r="D73" s="6" t="e">
        <f>#REF!</f>
        <v>#REF!</v>
      </c>
      <c r="E73" s="6" t="e">
        <f t="shared" si="1"/>
        <v>#REF!</v>
      </c>
    </row>
    <row r="74" spans="1:5" ht="15">
      <c r="A74" s="6" t="s">
        <v>57</v>
      </c>
      <c r="B74" s="6" t="e">
        <f>#REF!</f>
        <v>#REF!</v>
      </c>
      <c r="C74" s="6" t="e">
        <f>#REF!</f>
        <v>#REF!</v>
      </c>
      <c r="D74" s="6" t="e">
        <f>#REF!</f>
        <v>#REF!</v>
      </c>
      <c r="E74" s="6" t="e">
        <f t="shared" si="1"/>
        <v>#REF!</v>
      </c>
    </row>
    <row r="75" spans="1:5" s="6" customFormat="1" ht="15">
      <c r="A75" s="6" t="s">
        <v>181</v>
      </c>
      <c r="C75" s="6" t="e">
        <f>#REF!</f>
        <v>#REF!</v>
      </c>
      <c r="D75" s="6" t="e">
        <f>#REF!</f>
        <v>#REF!</v>
      </c>
      <c r="E75" s="6" t="e">
        <f t="shared" si="1"/>
        <v>#REF!</v>
      </c>
    </row>
    <row r="76" spans="1:5" ht="15">
      <c r="A76" t="s">
        <v>58</v>
      </c>
      <c r="B76" s="6" t="e">
        <f>#REF!</f>
        <v>#REF!</v>
      </c>
      <c r="C76" s="6" t="e">
        <f>#REF!</f>
        <v>#REF!</v>
      </c>
      <c r="D76" s="6" t="e">
        <f>#REF!</f>
        <v>#REF!</v>
      </c>
      <c r="E76" s="6" t="e">
        <f t="shared" si="1"/>
        <v>#REF!</v>
      </c>
    </row>
    <row r="77" spans="1:5" ht="15">
      <c r="A77" s="6" t="s">
        <v>59</v>
      </c>
      <c r="B77" s="6" t="e">
        <f>#REF!</f>
        <v>#REF!</v>
      </c>
      <c r="C77" s="6" t="e">
        <f>#REF!</f>
        <v>#REF!</v>
      </c>
      <c r="D77" s="6" t="e">
        <f>#REF!</f>
        <v>#REF!</v>
      </c>
      <c r="E77" s="6" t="e">
        <f t="shared" si="1"/>
        <v>#REF!</v>
      </c>
    </row>
    <row r="78" spans="1:5" ht="15">
      <c r="A78" s="6" t="s">
        <v>60</v>
      </c>
      <c r="B78" s="6" t="e">
        <f>#REF!</f>
        <v>#REF!</v>
      </c>
      <c r="C78" s="6" t="e">
        <f>#REF!</f>
        <v>#REF!</v>
      </c>
      <c r="D78" s="6" t="e">
        <f>#REF!</f>
        <v>#REF!</v>
      </c>
      <c r="E78" s="6" t="e">
        <f t="shared" si="1"/>
        <v>#REF!</v>
      </c>
    </row>
    <row r="79" spans="1:5" ht="15">
      <c r="A79" s="6" t="s">
        <v>61</v>
      </c>
      <c r="B79" s="6" t="e">
        <f>#REF!</f>
        <v>#REF!</v>
      </c>
      <c r="C79" s="6" t="e">
        <f>#REF!</f>
        <v>#REF!</v>
      </c>
      <c r="D79" s="6" t="e">
        <f>#REF!</f>
        <v>#REF!</v>
      </c>
      <c r="E79" s="6" t="e">
        <f t="shared" si="1"/>
        <v>#REF!</v>
      </c>
    </row>
    <row r="80" spans="1:5" ht="15">
      <c r="A80" s="6" t="s">
        <v>62</v>
      </c>
      <c r="B80" s="6" t="e">
        <f>#REF!</f>
        <v>#REF!</v>
      </c>
      <c r="C80" s="6" t="e">
        <f>#REF!</f>
        <v>#REF!</v>
      </c>
      <c r="D80" s="6" t="e">
        <f>#REF!</f>
        <v>#REF!</v>
      </c>
      <c r="E80" s="6" t="e">
        <f t="shared" si="1"/>
        <v>#REF!</v>
      </c>
    </row>
    <row r="81" spans="1:5" ht="15">
      <c r="A81" s="6" t="s">
        <v>63</v>
      </c>
      <c r="B81" s="6" t="e">
        <f>#REF!</f>
        <v>#REF!</v>
      </c>
      <c r="C81" s="6" t="e">
        <f>#REF!</f>
        <v>#REF!</v>
      </c>
      <c r="D81" s="6" t="e">
        <f>#REF!</f>
        <v>#REF!</v>
      </c>
      <c r="E81" s="6" t="e">
        <f t="shared" si="1"/>
        <v>#REF!</v>
      </c>
    </row>
    <row r="82" spans="1:5" ht="15">
      <c r="A82" s="6" t="s">
        <v>64</v>
      </c>
      <c r="B82" s="6" t="e">
        <f>#REF!</f>
        <v>#REF!</v>
      </c>
      <c r="C82" s="6" t="e">
        <f>#REF!</f>
        <v>#REF!</v>
      </c>
      <c r="D82" s="6" t="e">
        <f>#REF!</f>
        <v>#REF!</v>
      </c>
      <c r="E82" s="6" t="e">
        <f t="shared" si="1"/>
        <v>#REF!</v>
      </c>
    </row>
    <row r="83" spans="1:5" ht="15">
      <c r="A83" s="6" t="s">
        <v>65</v>
      </c>
      <c r="B83" s="6" t="e">
        <f>#REF!</f>
        <v>#REF!</v>
      </c>
      <c r="C83" s="6" t="e">
        <f>#REF!</f>
        <v>#REF!</v>
      </c>
      <c r="D83" s="6" t="e">
        <f>#REF!</f>
        <v>#REF!</v>
      </c>
      <c r="E83" s="6" t="e">
        <f t="shared" si="1"/>
        <v>#REF!</v>
      </c>
    </row>
    <row r="84" spans="1:5" ht="15">
      <c r="A84" s="6" t="s">
        <v>66</v>
      </c>
      <c r="B84" s="6" t="e">
        <f>#REF!</f>
        <v>#REF!</v>
      </c>
      <c r="C84" s="6" t="e">
        <f>#REF!</f>
        <v>#REF!</v>
      </c>
      <c r="D84" s="6" t="e">
        <f>#REF!</f>
        <v>#REF!</v>
      </c>
      <c r="E84" s="6" t="e">
        <f t="shared" si="1"/>
        <v>#REF!</v>
      </c>
    </row>
    <row r="85" spans="1:5" ht="15">
      <c r="A85" s="6" t="s">
        <v>67</v>
      </c>
      <c r="B85" s="6" t="e">
        <f>#REF!</f>
        <v>#REF!</v>
      </c>
      <c r="C85" s="6" t="e">
        <f>#REF!</f>
        <v>#REF!</v>
      </c>
      <c r="D85" s="6" t="e">
        <f>#REF!</f>
        <v>#REF!</v>
      </c>
      <c r="E85" s="6" t="e">
        <f t="shared" si="1"/>
        <v>#REF!</v>
      </c>
    </row>
    <row r="86" spans="1:5" s="6" customFormat="1" ht="15">
      <c r="A86" s="6" t="s">
        <v>182</v>
      </c>
      <c r="D86" s="6" t="e">
        <f>#REF!</f>
        <v>#REF!</v>
      </c>
      <c r="E86" s="6" t="e">
        <f t="shared" si="1"/>
        <v>#REF!</v>
      </c>
    </row>
    <row r="87" spans="1:5" ht="15">
      <c r="A87" t="s">
        <v>68</v>
      </c>
      <c r="B87" s="6" t="e">
        <f>#REF!</f>
        <v>#REF!</v>
      </c>
      <c r="C87" s="6" t="e">
        <f>#REF!</f>
        <v>#REF!</v>
      </c>
      <c r="D87" s="6" t="e">
        <f>#REF!</f>
        <v>#REF!</v>
      </c>
      <c r="E87" s="6" t="e">
        <f t="shared" si="1"/>
        <v>#REF!</v>
      </c>
    </row>
    <row r="88" spans="1:5" ht="15">
      <c r="A88" s="6" t="s">
        <v>69</v>
      </c>
      <c r="B88" s="6" t="e">
        <f>#REF!</f>
        <v>#REF!</v>
      </c>
      <c r="C88" s="6" t="e">
        <f>#REF!</f>
        <v>#REF!</v>
      </c>
      <c r="D88" s="6" t="e">
        <f>#REF!</f>
        <v>#REF!</v>
      </c>
      <c r="E88" s="6" t="e">
        <f t="shared" si="1"/>
        <v>#REF!</v>
      </c>
    </row>
    <row r="89" spans="1:5" ht="15">
      <c r="A89" s="6" t="s">
        <v>70</v>
      </c>
      <c r="B89" s="6" t="e">
        <f>#REF!</f>
        <v>#REF!</v>
      </c>
      <c r="C89" s="6" t="e">
        <f>#REF!</f>
        <v>#REF!</v>
      </c>
      <c r="D89" s="6" t="e">
        <f>#REF!</f>
        <v>#REF!</v>
      </c>
      <c r="E89" s="6" t="e">
        <f t="shared" si="1"/>
        <v>#REF!</v>
      </c>
    </row>
    <row r="90" spans="1:5" ht="15">
      <c r="A90" s="6" t="s">
        <v>71</v>
      </c>
      <c r="B90" s="6" t="e">
        <f>#REF!</f>
        <v>#REF!</v>
      </c>
      <c r="C90" s="6" t="e">
        <f>#REF!</f>
        <v>#REF!</v>
      </c>
      <c r="D90" s="6" t="e">
        <f>#REF!</f>
        <v>#REF!</v>
      </c>
      <c r="E90" s="6" t="e">
        <f t="shared" si="1"/>
        <v>#REF!</v>
      </c>
    </row>
    <row r="91" spans="1:5" s="6" customFormat="1" ht="15">
      <c r="A91" s="6" t="s">
        <v>183</v>
      </c>
      <c r="C91" s="6" t="e">
        <f>#REF!</f>
        <v>#REF!</v>
      </c>
      <c r="D91" s="6" t="e">
        <f>#REF!</f>
        <v>#REF!</v>
      </c>
      <c r="E91" s="6" t="e">
        <f t="shared" si="1"/>
        <v>#REF!</v>
      </c>
    </row>
    <row r="92" spans="1:5" ht="15">
      <c r="A92" t="s">
        <v>72</v>
      </c>
      <c r="B92" t="e">
        <f>#REF!</f>
        <v>#REF!</v>
      </c>
      <c r="C92" s="6" t="e">
        <f>#REF!</f>
        <v>#REF!</v>
      </c>
      <c r="D92" s="6" t="e">
        <f>#REF!</f>
        <v>#REF!</v>
      </c>
      <c r="E92" s="6" t="e">
        <f t="shared" si="1"/>
        <v>#REF!</v>
      </c>
    </row>
    <row r="93" spans="1:5" s="6" customFormat="1" ht="15">
      <c r="A93" s="6" t="s">
        <v>194</v>
      </c>
      <c r="C93" s="6" t="e">
        <f>#REF!</f>
        <v>#REF!</v>
      </c>
      <c r="D93" s="6" t="e">
        <f>#REF!</f>
        <v>#REF!</v>
      </c>
      <c r="E93" s="6" t="e">
        <f t="shared" si="1"/>
        <v>#REF!</v>
      </c>
    </row>
    <row r="94" spans="1:5" ht="15">
      <c r="A94" t="s">
        <v>158</v>
      </c>
      <c r="B94" s="6" t="e">
        <f>#REF!</f>
        <v>#REF!</v>
      </c>
      <c r="C94" s="6" t="e">
        <f>#REF!</f>
        <v>#REF!</v>
      </c>
      <c r="D94" s="6" t="e">
        <f>#REF!</f>
        <v>#REF!</v>
      </c>
      <c r="E94" s="6" t="e">
        <f t="shared" si="1"/>
        <v>#REF!</v>
      </c>
    </row>
    <row r="95" spans="1:5" ht="15">
      <c r="A95" s="6" t="s">
        <v>159</v>
      </c>
      <c r="B95" s="6" t="e">
        <f>#REF!</f>
        <v>#REF!</v>
      </c>
      <c r="C95" s="6" t="e">
        <f>#REF!</f>
        <v>#REF!</v>
      </c>
      <c r="D95" s="6" t="e">
        <f>#REF!</f>
        <v>#REF!</v>
      </c>
      <c r="E95" s="6" t="e">
        <f t="shared" si="1"/>
        <v>#REF!</v>
      </c>
    </row>
    <row r="96" spans="1:5" ht="15">
      <c r="A96" s="6" t="s">
        <v>160</v>
      </c>
      <c r="B96" s="6" t="e">
        <f>#REF!</f>
        <v>#REF!</v>
      </c>
      <c r="C96" s="6" t="e">
        <f>#REF!</f>
        <v>#REF!</v>
      </c>
      <c r="D96" s="6" t="e">
        <f>#REF!</f>
        <v>#REF!</v>
      </c>
      <c r="E96" s="6" t="e">
        <f t="shared" si="1"/>
        <v>#REF!</v>
      </c>
    </row>
    <row r="97" spans="1:5" ht="15">
      <c r="A97" s="6" t="s">
        <v>161</v>
      </c>
      <c r="B97" s="6" t="e">
        <f>#REF!</f>
        <v>#REF!</v>
      </c>
      <c r="C97" s="6" t="e">
        <f>#REF!</f>
        <v>#REF!</v>
      </c>
      <c r="D97" s="6" t="e">
        <f>#REF!</f>
        <v>#REF!</v>
      </c>
      <c r="E97" s="6" t="e">
        <f t="shared" si="1"/>
        <v>#REF!</v>
      </c>
    </row>
    <row r="98" spans="1:5" s="6" customFormat="1" ht="15">
      <c r="A98" s="6" t="s">
        <v>184</v>
      </c>
      <c r="B98" s="6" t="e">
        <f>#REF!</f>
        <v>#REF!</v>
      </c>
      <c r="C98" s="6" t="e">
        <f>#REF!</f>
        <v>#REF!</v>
      </c>
      <c r="D98" s="6" t="e">
        <f>#REF!</f>
        <v>#REF!</v>
      </c>
      <c r="E98" s="6" t="e">
        <f>D98*C98</f>
        <v>#REF!</v>
      </c>
    </row>
    <row r="99" spans="1:5" ht="15">
      <c r="A99" s="6" t="s">
        <v>162</v>
      </c>
      <c r="B99" s="6" t="e">
        <f>#REF!</f>
        <v>#REF!</v>
      </c>
      <c r="C99" s="6" t="e">
        <f>#REF!</f>
        <v>#REF!</v>
      </c>
      <c r="D99" s="6" t="e">
        <f>#REF!</f>
        <v>#REF!</v>
      </c>
      <c r="E99" s="6" t="e">
        <f>D99*C99</f>
        <v>#REF!</v>
      </c>
    </row>
    <row r="100" spans="1:5" ht="15">
      <c r="A100" s="6" t="s">
        <v>163</v>
      </c>
      <c r="B100" s="6" t="e">
        <f>#REF!</f>
        <v>#REF!</v>
      </c>
      <c r="C100" s="6" t="e">
        <f>#REF!</f>
        <v>#REF!</v>
      </c>
      <c r="D100" s="6" t="e">
        <f>#REF!</f>
        <v>#REF!</v>
      </c>
      <c r="E100" s="6" t="e">
        <f aca="true" t="shared" si="2" ref="E100:E102">D100*C100</f>
        <v>#REF!</v>
      </c>
    </row>
    <row r="101" spans="1:5" ht="15">
      <c r="A101" s="6" t="s">
        <v>164</v>
      </c>
      <c r="B101" s="6" t="e">
        <f>#REF!</f>
        <v>#REF!</v>
      </c>
      <c r="C101" s="6" t="e">
        <f>#REF!</f>
        <v>#REF!</v>
      </c>
      <c r="D101" s="6" t="e">
        <f>#REF!</f>
        <v>#REF!</v>
      </c>
      <c r="E101" s="6" t="e">
        <f t="shared" si="2"/>
        <v>#REF!</v>
      </c>
    </row>
    <row r="102" spans="1:5" ht="15">
      <c r="A102" s="6" t="s">
        <v>165</v>
      </c>
      <c r="B102" s="6" t="e">
        <f>#REF!</f>
        <v>#REF!</v>
      </c>
      <c r="C102" s="6" t="e">
        <f>#REF!</f>
        <v>#REF!</v>
      </c>
      <c r="D102" s="6" t="e">
        <f>#REF!</f>
        <v>#REF!</v>
      </c>
      <c r="E102" s="6" t="e">
        <f t="shared" si="2"/>
        <v>#REF!</v>
      </c>
    </row>
    <row r="103" spans="1:5" s="6" customFormat="1" ht="15">
      <c r="A103" s="6" t="s">
        <v>185</v>
      </c>
      <c r="B103" s="6" t="e">
        <f>#REF!</f>
        <v>#REF!</v>
      </c>
      <c r="C103" s="6" t="e">
        <f>#REF!</f>
        <v>#REF!</v>
      </c>
      <c r="D103" s="6" t="e">
        <f>#REF!</f>
        <v>#REF!</v>
      </c>
      <c r="E103" s="6" t="e">
        <f>D103*C103</f>
        <v>#REF!</v>
      </c>
    </row>
    <row r="104" spans="1:5" ht="15">
      <c r="A104" s="6" t="s">
        <v>166</v>
      </c>
      <c r="B104" s="6" t="e">
        <f>#REF!</f>
        <v>#REF!</v>
      </c>
      <c r="C104" s="6" t="e">
        <f>#REF!</f>
        <v>#REF!</v>
      </c>
      <c r="D104" s="6" t="e">
        <f>#REF!</f>
        <v>#REF!</v>
      </c>
      <c r="E104" s="6" t="e">
        <f>D104*C104</f>
        <v>#REF!</v>
      </c>
    </row>
    <row r="105" spans="1:5" ht="15">
      <c r="A105" s="6" t="s">
        <v>167</v>
      </c>
      <c r="B105" s="6" t="e">
        <f>#REF!</f>
        <v>#REF!</v>
      </c>
      <c r="C105" s="6" t="e">
        <f>#REF!</f>
        <v>#REF!</v>
      </c>
      <c r="D105" s="6" t="e">
        <f>#REF!</f>
        <v>#REF!</v>
      </c>
      <c r="E105" s="6" t="e">
        <f aca="true" t="shared" si="3" ref="E105:E137">D105*C105</f>
        <v>#REF!</v>
      </c>
    </row>
    <row r="106" spans="1:5" ht="15">
      <c r="A106" s="6" t="s">
        <v>168</v>
      </c>
      <c r="B106" s="6" t="e">
        <f>#REF!</f>
        <v>#REF!</v>
      </c>
      <c r="C106" s="6" t="e">
        <f>#REF!</f>
        <v>#REF!</v>
      </c>
      <c r="D106" s="6" t="e">
        <f>#REF!</f>
        <v>#REF!</v>
      </c>
      <c r="E106" s="6" t="e">
        <f t="shared" si="3"/>
        <v>#REF!</v>
      </c>
    </row>
    <row r="107" spans="1:5" ht="15">
      <c r="A107" s="6" t="s">
        <v>169</v>
      </c>
      <c r="B107" s="6" t="e">
        <f>#REF!</f>
        <v>#REF!</v>
      </c>
      <c r="C107" s="6" t="e">
        <f>#REF!</f>
        <v>#REF!</v>
      </c>
      <c r="D107" s="6" t="e">
        <f>#REF!</f>
        <v>#REF!</v>
      </c>
      <c r="E107" s="6" t="e">
        <f t="shared" si="3"/>
        <v>#REF!</v>
      </c>
    </row>
    <row r="108" spans="1:5" ht="15">
      <c r="A108" s="6" t="s">
        <v>170</v>
      </c>
      <c r="B108" s="6" t="e">
        <f>#REF!</f>
        <v>#REF!</v>
      </c>
      <c r="C108" s="6" t="e">
        <f>#REF!</f>
        <v>#REF!</v>
      </c>
      <c r="D108" s="6" t="e">
        <f>#REF!</f>
        <v>#REF!</v>
      </c>
      <c r="E108" s="6" t="e">
        <f t="shared" si="3"/>
        <v>#REF!</v>
      </c>
    </row>
    <row r="109" spans="1:5" ht="15">
      <c r="A109" s="6" t="s">
        <v>171</v>
      </c>
      <c r="B109" s="6" t="e">
        <f>#REF!</f>
        <v>#REF!</v>
      </c>
      <c r="C109" s="6" t="e">
        <f>#REF!</f>
        <v>#REF!</v>
      </c>
      <c r="D109" s="6" t="e">
        <f>#REF!</f>
        <v>#REF!</v>
      </c>
      <c r="E109" s="6" t="e">
        <f t="shared" si="3"/>
        <v>#REF!</v>
      </c>
    </row>
    <row r="110" spans="1:5" ht="15">
      <c r="A110" s="6" t="s">
        <v>172</v>
      </c>
      <c r="B110" s="6" t="e">
        <f>#REF!</f>
        <v>#REF!</v>
      </c>
      <c r="C110" s="6" t="e">
        <f>#REF!</f>
        <v>#REF!</v>
      </c>
      <c r="D110" s="6" t="e">
        <f>#REF!</f>
        <v>#REF!</v>
      </c>
      <c r="E110" s="6" t="e">
        <f t="shared" si="3"/>
        <v>#REF!</v>
      </c>
    </row>
    <row r="111" spans="1:5" ht="15">
      <c r="A111" s="6" t="s">
        <v>173</v>
      </c>
      <c r="B111" s="6" t="e">
        <f>#REF!</f>
        <v>#REF!</v>
      </c>
      <c r="C111" s="6" t="e">
        <f>#REF!</f>
        <v>#REF!</v>
      </c>
      <c r="D111" s="6" t="e">
        <f>#REF!</f>
        <v>#REF!</v>
      </c>
      <c r="E111" s="6" t="e">
        <f t="shared" si="3"/>
        <v>#REF!</v>
      </c>
    </row>
    <row r="112" spans="1:5" s="6" customFormat="1" ht="15">
      <c r="A112" s="6" t="s">
        <v>186</v>
      </c>
      <c r="B112" s="6" t="e">
        <f>#REF!</f>
        <v>#REF!</v>
      </c>
      <c r="C112" s="6" t="e">
        <f>#REF!</f>
        <v>#REF!</v>
      </c>
      <c r="D112" s="6" t="e">
        <f>#REF!</f>
        <v>#REF!</v>
      </c>
      <c r="E112" s="6" t="e">
        <f t="shared" si="3"/>
        <v>#REF!</v>
      </c>
    </row>
    <row r="113" spans="1:5" ht="15">
      <c r="A113" t="s">
        <v>75</v>
      </c>
      <c r="B113" s="6" t="e">
        <f>#REF!</f>
        <v>#REF!</v>
      </c>
      <c r="C113" s="6" t="e">
        <f>#REF!</f>
        <v>#REF!</v>
      </c>
      <c r="D113" s="6" t="e">
        <f>#REF!</f>
        <v>#REF!</v>
      </c>
      <c r="E113" s="6" t="e">
        <f t="shared" si="3"/>
        <v>#REF!</v>
      </c>
    </row>
    <row r="114" spans="1:5" s="6" customFormat="1" ht="15">
      <c r="A114" s="6" t="s">
        <v>187</v>
      </c>
      <c r="C114" s="6" t="e">
        <f>#REF!</f>
        <v>#REF!</v>
      </c>
      <c r="D114" s="6" t="e">
        <f>#REF!</f>
        <v>#REF!</v>
      </c>
      <c r="E114" s="6" t="e">
        <f t="shared" si="3"/>
        <v>#REF!</v>
      </c>
    </row>
    <row r="115" spans="1:5" ht="15">
      <c r="A115" t="s">
        <v>76</v>
      </c>
      <c r="B115" s="6" t="e">
        <f>#REF!</f>
        <v>#REF!</v>
      </c>
      <c r="C115" s="6" t="e">
        <f>#REF!</f>
        <v>#REF!</v>
      </c>
      <c r="D115" s="6" t="e">
        <f>#REF!</f>
        <v>#REF!</v>
      </c>
      <c r="E115" s="6" t="e">
        <f t="shared" si="3"/>
        <v>#REF!</v>
      </c>
    </row>
    <row r="116" spans="1:5" ht="15">
      <c r="A116" s="6" t="s">
        <v>77</v>
      </c>
      <c r="B116" s="6" t="e">
        <f>#REF!</f>
        <v>#REF!</v>
      </c>
      <c r="C116" s="6" t="e">
        <f>#REF!</f>
        <v>#REF!</v>
      </c>
      <c r="D116" s="6" t="e">
        <f>#REF!</f>
        <v>#REF!</v>
      </c>
      <c r="E116" s="6" t="e">
        <f t="shared" si="3"/>
        <v>#REF!</v>
      </c>
    </row>
    <row r="117" spans="1:5" ht="15">
      <c r="A117" s="6" t="s">
        <v>78</v>
      </c>
      <c r="B117" s="6" t="e">
        <f>#REF!</f>
        <v>#REF!</v>
      </c>
      <c r="C117" s="6" t="e">
        <f>#REF!</f>
        <v>#REF!</v>
      </c>
      <c r="D117" s="6" t="e">
        <f>#REF!</f>
        <v>#REF!</v>
      </c>
      <c r="E117" s="6" t="e">
        <f t="shared" si="3"/>
        <v>#REF!</v>
      </c>
    </row>
    <row r="118" spans="1:5" ht="15">
      <c r="A118" s="6" t="s">
        <v>79</v>
      </c>
      <c r="B118" s="6" t="e">
        <f>#REF!</f>
        <v>#REF!</v>
      </c>
      <c r="C118" s="6" t="e">
        <f>#REF!</f>
        <v>#REF!</v>
      </c>
      <c r="D118" s="6" t="e">
        <f>#REF!</f>
        <v>#REF!</v>
      </c>
      <c r="E118" s="6" t="e">
        <f t="shared" si="3"/>
        <v>#REF!</v>
      </c>
    </row>
    <row r="119" spans="1:5" s="6" customFormat="1" ht="15">
      <c r="A119" s="6" t="s">
        <v>188</v>
      </c>
      <c r="C119" s="6" t="e">
        <f>#REF!</f>
        <v>#REF!</v>
      </c>
      <c r="D119" s="6" t="e">
        <f>#REF!</f>
        <v>#REF!</v>
      </c>
      <c r="E119" s="6" t="e">
        <f t="shared" si="3"/>
        <v>#REF!</v>
      </c>
    </row>
    <row r="120" spans="1:5" ht="15">
      <c r="A120" t="s">
        <v>80</v>
      </c>
      <c r="B120" s="6" t="e">
        <f>#REF!</f>
        <v>#REF!</v>
      </c>
      <c r="C120" s="6" t="e">
        <f>#REF!</f>
        <v>#REF!</v>
      </c>
      <c r="D120" s="6" t="e">
        <f>#REF!</f>
        <v>#REF!</v>
      </c>
      <c r="E120" s="6" t="e">
        <f t="shared" si="3"/>
        <v>#REF!</v>
      </c>
    </row>
    <row r="121" spans="1:5" ht="15">
      <c r="A121" s="6" t="s">
        <v>81</v>
      </c>
      <c r="B121" s="6" t="e">
        <f>#REF!</f>
        <v>#REF!</v>
      </c>
      <c r="C121" s="6" t="e">
        <f>#REF!</f>
        <v>#REF!</v>
      </c>
      <c r="D121" s="6" t="e">
        <f>#REF!</f>
        <v>#REF!</v>
      </c>
      <c r="E121" s="6" t="e">
        <f t="shared" si="3"/>
        <v>#REF!</v>
      </c>
    </row>
    <row r="122" spans="1:5" s="6" customFormat="1" ht="15">
      <c r="A122" s="6" t="s">
        <v>189</v>
      </c>
      <c r="C122" s="6" t="e">
        <f>#REF!</f>
        <v>#REF!</v>
      </c>
      <c r="D122" s="6" t="e">
        <f>#REF!</f>
        <v>#REF!</v>
      </c>
      <c r="E122" s="6" t="e">
        <f t="shared" si="3"/>
        <v>#REF!</v>
      </c>
    </row>
    <row r="123" spans="1:5" ht="15">
      <c r="A123" t="s">
        <v>82</v>
      </c>
      <c r="B123" s="6" t="e">
        <f>#REF!</f>
        <v>#REF!</v>
      </c>
      <c r="C123" s="6" t="e">
        <f>#REF!</f>
        <v>#REF!</v>
      </c>
      <c r="D123" s="6" t="e">
        <f>#REF!</f>
        <v>#REF!</v>
      </c>
      <c r="E123" s="6" t="e">
        <f t="shared" si="3"/>
        <v>#REF!</v>
      </c>
    </row>
    <row r="124" spans="1:5" ht="15">
      <c r="A124" s="6" t="s">
        <v>83</v>
      </c>
      <c r="B124" s="6" t="e">
        <f>#REF!</f>
        <v>#REF!</v>
      </c>
      <c r="C124" s="6" t="e">
        <f>#REF!</f>
        <v>#REF!</v>
      </c>
      <c r="D124" s="6" t="e">
        <f>#REF!</f>
        <v>#REF!</v>
      </c>
      <c r="E124" s="6" t="e">
        <f t="shared" si="3"/>
        <v>#REF!</v>
      </c>
    </row>
    <row r="125" spans="1:5" s="6" customFormat="1" ht="15">
      <c r="A125" s="6" t="s">
        <v>190</v>
      </c>
      <c r="C125" s="6" t="e">
        <f>#REF!</f>
        <v>#REF!</v>
      </c>
      <c r="D125" s="6" t="e">
        <f>#REF!</f>
        <v>#REF!</v>
      </c>
      <c r="E125" s="6" t="e">
        <f t="shared" si="3"/>
        <v>#REF!</v>
      </c>
    </row>
    <row r="126" spans="1:5" ht="15">
      <c r="A126" t="s">
        <v>84</v>
      </c>
      <c r="B126" s="6" t="e">
        <f>#REF!</f>
        <v>#REF!</v>
      </c>
      <c r="C126" s="6" t="e">
        <f>#REF!</f>
        <v>#REF!</v>
      </c>
      <c r="D126" s="6" t="e">
        <f>#REF!</f>
        <v>#REF!</v>
      </c>
      <c r="E126" s="6" t="e">
        <f t="shared" si="3"/>
        <v>#REF!</v>
      </c>
    </row>
    <row r="127" spans="1:5" ht="15">
      <c r="A127" s="6" t="s">
        <v>85</v>
      </c>
      <c r="B127" s="6" t="e">
        <f>#REF!</f>
        <v>#REF!</v>
      </c>
      <c r="C127" s="6" t="e">
        <f>#REF!</f>
        <v>#REF!</v>
      </c>
      <c r="D127" s="6" t="e">
        <f>#REF!</f>
        <v>#REF!</v>
      </c>
      <c r="E127" s="6" t="e">
        <f t="shared" si="3"/>
        <v>#REF!</v>
      </c>
    </row>
    <row r="128" spans="1:5" ht="15">
      <c r="A128" s="6" t="s">
        <v>86</v>
      </c>
      <c r="B128" s="6" t="e">
        <f>#REF!</f>
        <v>#REF!</v>
      </c>
      <c r="C128" s="6" t="e">
        <f>#REF!</f>
        <v>#REF!</v>
      </c>
      <c r="D128" s="6" t="e">
        <f>#REF!</f>
        <v>#REF!</v>
      </c>
      <c r="E128" s="6" t="e">
        <f t="shared" si="3"/>
        <v>#REF!</v>
      </c>
    </row>
    <row r="129" spans="1:5" ht="15">
      <c r="A129" s="6" t="s">
        <v>87</v>
      </c>
      <c r="B129" s="6" t="e">
        <f>#REF!</f>
        <v>#REF!</v>
      </c>
      <c r="C129" s="6" t="e">
        <f>#REF!</f>
        <v>#REF!</v>
      </c>
      <c r="D129" s="6" t="e">
        <f>#REF!</f>
        <v>#REF!</v>
      </c>
      <c r="E129" s="6" t="e">
        <f t="shared" si="3"/>
        <v>#REF!</v>
      </c>
    </row>
    <row r="130" spans="1:5" ht="15">
      <c r="A130" s="6" t="s">
        <v>88</v>
      </c>
      <c r="B130" s="6" t="e">
        <f>#REF!</f>
        <v>#REF!</v>
      </c>
      <c r="C130" s="6" t="e">
        <f>#REF!</f>
        <v>#REF!</v>
      </c>
      <c r="D130" s="6" t="e">
        <f>#REF!</f>
        <v>#REF!</v>
      </c>
      <c r="E130" s="6" t="e">
        <f t="shared" si="3"/>
        <v>#REF!</v>
      </c>
    </row>
    <row r="131" spans="1:5" s="6" customFormat="1" ht="15">
      <c r="A131" s="6" t="s">
        <v>191</v>
      </c>
      <c r="C131" s="6" t="e">
        <f>#REF!</f>
        <v>#REF!</v>
      </c>
      <c r="D131" s="6" t="e">
        <f>#REF!</f>
        <v>#REF!</v>
      </c>
      <c r="E131" s="6" t="e">
        <f t="shared" si="3"/>
        <v>#REF!</v>
      </c>
    </row>
    <row r="132" spans="1:5" ht="15">
      <c r="A132" t="s">
        <v>89</v>
      </c>
      <c r="B132" s="6" t="e">
        <f>#REF!</f>
        <v>#REF!</v>
      </c>
      <c r="C132" s="6" t="e">
        <f>#REF!</f>
        <v>#REF!</v>
      </c>
      <c r="D132" s="6" t="e">
        <f>#REF!</f>
        <v>#REF!</v>
      </c>
      <c r="E132" s="6" t="e">
        <f t="shared" si="3"/>
        <v>#REF!</v>
      </c>
    </row>
    <row r="133" spans="1:5" ht="15">
      <c r="A133" s="6" t="s">
        <v>90</v>
      </c>
      <c r="B133" s="6" t="e">
        <f>#REF!</f>
        <v>#REF!</v>
      </c>
      <c r="C133" s="6" t="e">
        <f>#REF!</f>
        <v>#REF!</v>
      </c>
      <c r="D133" s="6" t="e">
        <f>#REF!</f>
        <v>#REF!</v>
      </c>
      <c r="E133" s="6" t="e">
        <f t="shared" si="3"/>
        <v>#REF!</v>
      </c>
    </row>
    <row r="134" spans="1:5" ht="15">
      <c r="A134" s="6" t="s">
        <v>91</v>
      </c>
      <c r="B134" s="6" t="e">
        <f>#REF!</f>
        <v>#REF!</v>
      </c>
      <c r="C134" s="6" t="e">
        <f>#REF!</f>
        <v>#REF!</v>
      </c>
      <c r="D134" s="6" t="e">
        <f>#REF!</f>
        <v>#REF!</v>
      </c>
      <c r="E134" s="6" t="e">
        <f t="shared" si="3"/>
        <v>#REF!</v>
      </c>
    </row>
    <row r="135" spans="1:5" ht="15">
      <c r="A135" s="6" t="s">
        <v>92</v>
      </c>
      <c r="B135" s="6" t="e">
        <f>#REF!</f>
        <v>#REF!</v>
      </c>
      <c r="C135" s="6" t="e">
        <f>#REF!</f>
        <v>#REF!</v>
      </c>
      <c r="D135" s="6" t="e">
        <f>#REF!</f>
        <v>#REF!</v>
      </c>
      <c r="E135" s="6" t="e">
        <f t="shared" si="3"/>
        <v>#REF!</v>
      </c>
    </row>
    <row r="136" spans="1:5" ht="15">
      <c r="A136" s="6" t="s">
        <v>93</v>
      </c>
      <c r="B136" s="6" t="e">
        <f>#REF!</f>
        <v>#REF!</v>
      </c>
      <c r="C136" s="6" t="e">
        <f>#REF!</f>
        <v>#REF!</v>
      </c>
      <c r="D136" s="6" t="e">
        <f>#REF!</f>
        <v>#REF!</v>
      </c>
      <c r="E136" s="6" t="e">
        <f t="shared" si="3"/>
        <v>#REF!</v>
      </c>
    </row>
    <row r="137" spans="1:5" ht="15">
      <c r="A137" s="6" t="s">
        <v>94</v>
      </c>
      <c r="B137" s="6" t="e">
        <f>#REF!</f>
        <v>#REF!</v>
      </c>
      <c r="C137" s="6" t="e">
        <f>#REF!</f>
        <v>#REF!</v>
      </c>
      <c r="D137" s="6" t="e">
        <f>#REF!</f>
        <v>#REF!</v>
      </c>
      <c r="E137" s="6" t="e">
        <f t="shared" si="3"/>
        <v>#REF!</v>
      </c>
    </row>
    <row r="138" spans="1:5" ht="15">
      <c r="A138" s="6" t="s">
        <v>95</v>
      </c>
      <c r="B138" s="6" t="e">
        <f>#REF!</f>
        <v>#REF!</v>
      </c>
      <c r="C138" s="6" t="e">
        <f>#REF!</f>
        <v>#REF!</v>
      </c>
      <c r="D138" s="6" t="e">
        <f>#REF!</f>
        <v>#REF!</v>
      </c>
      <c r="E138" s="6" t="e">
        <f>D138*C138</f>
        <v>#REF!</v>
      </c>
    </row>
    <row r="139" spans="1:5" ht="15">
      <c r="A139" s="6" t="s">
        <v>96</v>
      </c>
      <c r="B139" s="6" t="e">
        <f>#REF!</f>
        <v>#REF!</v>
      </c>
      <c r="C139" s="6" t="e">
        <f>#REF!</f>
        <v>#REF!</v>
      </c>
      <c r="D139" s="6" t="e">
        <f>#REF!</f>
        <v>#REF!</v>
      </c>
      <c r="E139" s="6" t="e">
        <f aca="true" t="shared" si="4" ref="E139:E143">D139*C139</f>
        <v>#REF!</v>
      </c>
    </row>
    <row r="140" spans="1:5" s="6" customFormat="1" ht="15">
      <c r="A140" s="6" t="s">
        <v>192</v>
      </c>
      <c r="D140" s="6" t="e">
        <f>#REF!</f>
        <v>#REF!</v>
      </c>
      <c r="E140" s="6" t="e">
        <f t="shared" si="4"/>
        <v>#REF!</v>
      </c>
    </row>
    <row r="141" spans="1:5" ht="15">
      <c r="A141" t="s">
        <v>97</v>
      </c>
      <c r="B141" s="6" t="e">
        <f>#REF!</f>
        <v>#REF!</v>
      </c>
      <c r="C141" s="6" t="e">
        <f>#REF!</f>
        <v>#REF!</v>
      </c>
      <c r="D141" s="6" t="e">
        <f>#REF!</f>
        <v>#REF!</v>
      </c>
      <c r="E141" s="6" t="e">
        <f t="shared" si="4"/>
        <v>#REF!</v>
      </c>
    </row>
    <row r="142" spans="1:5" ht="15">
      <c r="A142" t="s">
        <v>98</v>
      </c>
      <c r="B142" s="6" t="e">
        <f>#REF!</f>
        <v>#REF!</v>
      </c>
      <c r="C142" s="6" t="e">
        <f>#REF!</f>
        <v>#REF!</v>
      </c>
      <c r="D142" s="6" t="e">
        <f>#REF!</f>
        <v>#REF!</v>
      </c>
      <c r="E142" s="6" t="e">
        <f t="shared" si="4"/>
        <v>#REF!</v>
      </c>
    </row>
    <row r="143" spans="1:5" ht="15">
      <c r="A143" t="s">
        <v>193</v>
      </c>
      <c r="C143" s="6" t="e">
        <f>#REF!</f>
        <v>#REF!</v>
      </c>
      <c r="D143" s="6" t="e">
        <f>#REF!</f>
        <v>#REF!</v>
      </c>
      <c r="E143" s="6" t="e">
        <f t="shared" si="4"/>
        <v>#REF!</v>
      </c>
    </row>
    <row r="144" spans="1:3" ht="15">
      <c r="A144" t="s">
        <v>200</v>
      </c>
      <c r="C144" s="6" t="str">
        <f>'Algemene gegevens'!B19</f>
        <v>Nieuw</v>
      </c>
    </row>
    <row r="145" spans="1:3" ht="15">
      <c r="A145" t="s">
        <v>201</v>
      </c>
      <c r="C145" s="6" t="e">
        <f>VERZUIMPERCENTAGE</f>
        <v>#NAME?</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6"/>
  <sheetViews>
    <sheetView showGridLines="0" showRowColHeaders="0" workbookViewId="0" topLeftCell="A1">
      <selection activeCell="D15" sqref="D15"/>
    </sheetView>
  </sheetViews>
  <sheetFormatPr defaultColWidth="9.140625" defaultRowHeight="15"/>
  <cols>
    <col min="1" max="1" width="11.140625" style="0" bestFit="1" customWidth="1"/>
    <col min="2" max="2" width="18.00390625" style="0" customWidth="1"/>
    <col min="3" max="3" width="26.140625" style="0" customWidth="1"/>
    <col min="4" max="4" width="11.7109375" style="0" bestFit="1" customWidth="1"/>
    <col min="8" max="8" width="48.57421875" style="0" customWidth="1"/>
  </cols>
  <sheetData>
    <row r="1" spans="1:13" ht="15">
      <c r="A1" t="s">
        <v>16</v>
      </c>
      <c r="B1" s="2" t="s">
        <v>16</v>
      </c>
      <c r="C1" t="s">
        <v>31</v>
      </c>
      <c r="D1" s="4" t="s">
        <v>31</v>
      </c>
      <c r="E1" t="s">
        <v>36</v>
      </c>
      <c r="H1" t="s">
        <v>37</v>
      </c>
      <c r="I1" t="s">
        <v>73</v>
      </c>
      <c r="K1" t="s">
        <v>118</v>
      </c>
      <c r="M1" t="s">
        <v>197</v>
      </c>
    </row>
    <row r="2" spans="1:13" ht="15">
      <c r="A2" t="s">
        <v>17</v>
      </c>
      <c r="B2" s="3" t="s">
        <v>21</v>
      </c>
      <c r="C2" s="5" t="s">
        <v>17</v>
      </c>
      <c r="D2" s="5" t="s">
        <v>107</v>
      </c>
      <c r="E2" s="5" t="s">
        <v>109</v>
      </c>
      <c r="H2" s="1" t="s">
        <v>12</v>
      </c>
      <c r="I2" t="s">
        <v>17</v>
      </c>
      <c r="K2" t="s">
        <v>17</v>
      </c>
      <c r="M2" t="s">
        <v>198</v>
      </c>
    </row>
    <row r="3" spans="1:13" ht="15">
      <c r="A3" t="s">
        <v>18</v>
      </c>
      <c r="B3" s="2" t="s">
        <v>22</v>
      </c>
      <c r="C3" s="5" t="s">
        <v>18</v>
      </c>
      <c r="D3" s="5" t="s">
        <v>109</v>
      </c>
      <c r="E3" t="s">
        <v>107</v>
      </c>
      <c r="H3" s="1" t="s">
        <v>13</v>
      </c>
      <c r="I3" t="s">
        <v>18</v>
      </c>
      <c r="K3" t="s">
        <v>18</v>
      </c>
      <c r="M3" t="s">
        <v>199</v>
      </c>
    </row>
    <row r="4" spans="1:9" ht="15">
      <c r="A4" t="s">
        <v>19</v>
      </c>
      <c r="B4" s="2" t="s">
        <v>23</v>
      </c>
      <c r="C4" s="5" t="s">
        <v>19</v>
      </c>
      <c r="H4" s="1" t="s">
        <v>14</v>
      </c>
      <c r="I4" t="s">
        <v>19</v>
      </c>
    </row>
    <row r="5" spans="1:9" ht="15">
      <c r="A5" t="s">
        <v>20</v>
      </c>
      <c r="B5" s="2" t="s">
        <v>24</v>
      </c>
      <c r="C5" s="5"/>
      <c r="H5" s="1" t="s">
        <v>15</v>
      </c>
      <c r="I5" t="s">
        <v>20</v>
      </c>
    </row>
    <row r="6" ht="15">
      <c r="I6" t="s">
        <v>74</v>
      </c>
    </row>
    <row r="13" ht="15">
      <c r="A13" t="s">
        <v>102</v>
      </c>
    </row>
    <row r="14" spans="1:2" ht="15">
      <c r="A14" t="s">
        <v>17</v>
      </c>
      <c r="B14">
        <v>1</v>
      </c>
    </row>
    <row r="15" spans="1:2" ht="15">
      <c r="A15" t="s">
        <v>18</v>
      </c>
      <c r="B15">
        <v>2</v>
      </c>
    </row>
    <row r="16" spans="1:2" ht="15">
      <c r="A16" t="s">
        <v>19</v>
      </c>
      <c r="B16">
        <v>3</v>
      </c>
    </row>
    <row r="17" spans="1:2" ht="15">
      <c r="A17" t="s">
        <v>20</v>
      </c>
      <c r="B17">
        <v>4</v>
      </c>
    </row>
    <row r="18" spans="1:2" ht="15">
      <c r="A18" t="s">
        <v>74</v>
      </c>
      <c r="B18">
        <v>5</v>
      </c>
    </row>
    <row r="21" ht="15">
      <c r="A21" t="s">
        <v>103</v>
      </c>
    </row>
    <row r="22" spans="1:2" ht="15">
      <c r="A22">
        <v>1</v>
      </c>
      <c r="B22" t="s">
        <v>17</v>
      </c>
    </row>
    <row r="23" spans="1:2" ht="15">
      <c r="A23">
        <v>2</v>
      </c>
      <c r="B23" t="s">
        <v>18</v>
      </c>
    </row>
    <row r="24" spans="1:2" ht="15">
      <c r="A24">
        <v>3</v>
      </c>
      <c r="B24" t="s">
        <v>19</v>
      </c>
    </row>
    <row r="25" spans="1:2" ht="15">
      <c r="A25">
        <v>4</v>
      </c>
      <c r="B25" t="s">
        <v>20</v>
      </c>
    </row>
    <row r="26" spans="1:2" ht="15">
      <c r="A26">
        <v>5</v>
      </c>
      <c r="B26" t="s">
        <v>74</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6"/>
  <sheetViews>
    <sheetView showGridLines="0" showRowColHeaders="0" workbookViewId="0" topLeftCell="A1">
      <selection activeCell="K5" sqref="K5"/>
    </sheetView>
  </sheetViews>
  <sheetFormatPr defaultColWidth="9.140625" defaultRowHeight="15"/>
  <cols>
    <col min="11" max="15" width="9.140625" style="6" customWidth="1"/>
    <col min="18" max="18" width="9.140625" style="6" customWidth="1"/>
  </cols>
  <sheetData>
    <row r="1" spans="1:24" ht="15">
      <c r="A1" t="s">
        <v>112</v>
      </c>
      <c r="B1" t="s">
        <v>339</v>
      </c>
      <c r="D1" t="s">
        <v>341</v>
      </c>
      <c r="F1" t="s">
        <v>212</v>
      </c>
      <c r="H1" t="str">
        <f>lbl_profiel</f>
        <v>profiel</v>
      </c>
      <c r="I1" t="s">
        <v>354</v>
      </c>
      <c r="J1" t="s">
        <v>355</v>
      </c>
      <c r="K1" s="6" t="s">
        <v>520</v>
      </c>
      <c r="L1" s="6" t="s">
        <v>527</v>
      </c>
      <c r="M1" s="6" t="s">
        <v>528</v>
      </c>
      <c r="N1" s="6" t="s">
        <v>539</v>
      </c>
      <c r="O1" s="6" t="s">
        <v>540</v>
      </c>
      <c r="Q1" t="s">
        <v>365</v>
      </c>
      <c r="S1" t="s">
        <v>488</v>
      </c>
      <c r="T1">
        <v>1</v>
      </c>
      <c r="U1">
        <v>1</v>
      </c>
      <c r="V1">
        <v>1</v>
      </c>
      <c r="X1" t="s">
        <v>433</v>
      </c>
    </row>
    <row r="2" spans="1:24" ht="15">
      <c r="A2">
        <v>1</v>
      </c>
      <c r="B2" s="18">
        <v>0</v>
      </c>
      <c r="D2" t="s">
        <v>340</v>
      </c>
      <c r="F2" t="s">
        <v>216</v>
      </c>
      <c r="H2" t="str">
        <f>lbl_uitvoerder</f>
        <v>Uitvoerder</v>
      </c>
      <c r="I2" s="18">
        <v>0</v>
      </c>
      <c r="J2" s="18">
        <v>0</v>
      </c>
      <c r="K2" s="18">
        <v>0</v>
      </c>
      <c r="L2" s="18">
        <v>0</v>
      </c>
      <c r="M2" s="18">
        <v>0</v>
      </c>
      <c r="N2" s="21">
        <v>14</v>
      </c>
      <c r="O2" s="21">
        <v>8</v>
      </c>
      <c r="Q2" t="str">
        <f>matrix_nvt</f>
        <v>NVT</v>
      </c>
      <c r="S2" t="s">
        <v>489</v>
      </c>
      <c r="T2">
        <v>1</v>
      </c>
      <c r="U2">
        <v>2</v>
      </c>
      <c r="V2">
        <v>3</v>
      </c>
      <c r="X2" t="str">
        <f>"Om het VGO-keurmerk te behalen moet er per regel nog minimaal 1 "&amp;matrix_p&amp;", 1 "&amp;matrix_pu&amp;" of 1 "&amp;matrix_pe&amp;" van toepassing zijn."</f>
        <v>Om het VGO-keurmerk te behalen moet er per regel nog minimaal 1 P, 1 PU of 1 PE van toepassing zijn.</v>
      </c>
    </row>
    <row r="3" spans="1:24" ht="15">
      <c r="A3">
        <v>2</v>
      </c>
      <c r="B3" s="18">
        <v>0.4</v>
      </c>
      <c r="D3" t="s">
        <v>342</v>
      </c>
      <c r="F3" t="s">
        <v>215</v>
      </c>
      <c r="H3" t="str">
        <f>lbl_meedenker</f>
        <v>Meedenker</v>
      </c>
      <c r="I3" s="18">
        <v>0.6</v>
      </c>
      <c r="J3" s="18">
        <v>0.6</v>
      </c>
      <c r="K3" s="18">
        <v>0.6</v>
      </c>
      <c r="L3" s="18">
        <v>0.6</v>
      </c>
      <c r="M3" s="18">
        <v>0.6</v>
      </c>
      <c r="N3" s="21">
        <v>26</v>
      </c>
      <c r="O3" s="21">
        <v>10</v>
      </c>
      <c r="Q3" t="str">
        <f>matrix_e</f>
        <v>E</v>
      </c>
      <c r="X3" s="6" t="str">
        <f>"Om het VGO-keurmerk te behalen moet er per regel nog minimaal 1 "&amp;matrix_u&amp;", 1 "&amp;matrix_pu&amp;" of 1 "&amp;matrix_pe&amp;" van toepassing zijn."</f>
        <v>Om het VGO-keurmerk te behalen moet er per regel nog minimaal 1 U, 1 PU of 1 PE van toepassing zijn.</v>
      </c>
    </row>
    <row r="4" spans="1:24" ht="15">
      <c r="A4">
        <v>3</v>
      </c>
      <c r="B4" s="18">
        <v>0.7</v>
      </c>
      <c r="D4" t="s">
        <v>343</v>
      </c>
      <c r="H4" t="str">
        <f>lbl_adviseur</f>
        <v>Adviseur</v>
      </c>
      <c r="I4" s="18">
        <v>0.6</v>
      </c>
      <c r="J4" s="18">
        <v>0.6</v>
      </c>
      <c r="K4" s="18">
        <v>0.6</v>
      </c>
      <c r="L4" s="18">
        <v>0.6</v>
      </c>
      <c r="M4" s="18">
        <v>0.6</v>
      </c>
      <c r="N4" s="21">
        <v>36</v>
      </c>
      <c r="O4" s="21">
        <v>10</v>
      </c>
      <c r="Q4" t="str">
        <f>matrix_u</f>
        <v>U</v>
      </c>
      <c r="X4" t="s">
        <v>518</v>
      </c>
    </row>
    <row r="5" spans="1:24" ht="15">
      <c r="A5">
        <v>4</v>
      </c>
      <c r="B5" s="18">
        <v>1</v>
      </c>
      <c r="D5" t="s">
        <v>349</v>
      </c>
      <c r="Q5" t="str">
        <f>matrix_p</f>
        <v>P</v>
      </c>
      <c r="X5" t="s">
        <v>519</v>
      </c>
    </row>
    <row r="6" spans="4:24" ht="15">
      <c r="D6" t="s">
        <v>617</v>
      </c>
      <c r="Q6" t="str">
        <f>matrix_pu</f>
        <v>PU</v>
      </c>
      <c r="X6" t="str">
        <f>"Alle disciplines moeten aanwezig zijn."</f>
        <v>Alle disciplines moeten aanwezig zijn.</v>
      </c>
    </row>
    <row r="7" spans="4:24" ht="15">
      <c r="D7" t="s">
        <v>618</v>
      </c>
      <c r="Q7" t="str">
        <f>matrix_pe</f>
        <v>PE</v>
      </c>
      <c r="X7" t="str">
        <f>"Er moet minimaal 1 discipline aanwezig zijn."</f>
        <v>Er moet minimaal 1 discipline aanwezig zijn.</v>
      </c>
    </row>
    <row r="8" spans="4:24" ht="15">
      <c r="D8" t="s">
        <v>619</v>
      </c>
      <c r="X8" t="str">
        <f>"Om het VGO-keurmerk te behalen moet er per regel minimaal 1 "&amp;matrix_p&amp;" en 1 "&amp;matrix_u&amp;", 1 "&amp;matrix_pu&amp;" of 1 "&amp;matrix_pe&amp;" van toepassing zijn."</f>
        <v>Om het VGO-keurmerk te behalen moet er per regel minimaal 1 P en 1 U, 1 PU of 1 PE van toepassing zijn.</v>
      </c>
    </row>
    <row r="9" ht="15">
      <c r="D9" t="s">
        <v>210</v>
      </c>
    </row>
    <row r="10" spans="4:5" ht="15">
      <c r="D10" t="s">
        <v>366</v>
      </c>
      <c r="E10" t="str">
        <f>matrix_nvt&amp;" = Niet Van Toepassing"</f>
        <v>NVT = Niet Van Toepassing</v>
      </c>
    </row>
    <row r="11" spans="4:24" ht="15">
      <c r="D11" t="s">
        <v>367</v>
      </c>
      <c r="E11" t="str">
        <f>matrix_e&amp;" = extern belegd"</f>
        <v>E = extern belegd</v>
      </c>
      <c r="J11" s="6" t="str">
        <f>lbl_profiel</f>
        <v>profiel</v>
      </c>
      <c r="K11" s="6" t="s">
        <v>565</v>
      </c>
      <c r="X11" t="s">
        <v>506</v>
      </c>
    </row>
    <row r="12" spans="4:24" ht="15">
      <c r="D12" t="s">
        <v>209</v>
      </c>
      <c r="E12" t="str">
        <f>matrix_u&amp;" = uitvoerend personeel"</f>
        <v>U = uitvoerend personeel</v>
      </c>
      <c r="J12" s="6" t="str">
        <f>lbl_uitvoerder</f>
        <v>Uitvoerder</v>
      </c>
      <c r="K12" s="6">
        <v>0</v>
      </c>
      <c r="X12" t="s">
        <v>507</v>
      </c>
    </row>
    <row r="13" spans="4:24" ht="15">
      <c r="D13" t="s">
        <v>369</v>
      </c>
      <c r="E13" t="str">
        <f>matrix_p&amp;" = planontwikkeling"</f>
        <v>P = planontwikkeling</v>
      </c>
      <c r="J13" s="6" t="str">
        <f>lbl_meedenker</f>
        <v>Meedenker</v>
      </c>
      <c r="K13" s="6">
        <v>1</v>
      </c>
      <c r="X13" t="s">
        <v>511</v>
      </c>
    </row>
    <row r="14" spans="4:24" ht="15">
      <c r="D14" t="s">
        <v>368</v>
      </c>
      <c r="E14" t="str">
        <f>matrix_pu&amp;" = planontwikkeling en uitvoerend personeel"</f>
        <v>PU = planontwikkeling en uitvoerend personeel</v>
      </c>
      <c r="J14" s="6" t="str">
        <f>lbl_adviseur</f>
        <v>Adviseur</v>
      </c>
      <c r="K14" s="6">
        <v>4</v>
      </c>
      <c r="X14" t="s">
        <v>531</v>
      </c>
    </row>
    <row r="15" spans="4:24" ht="15">
      <c r="D15" t="s">
        <v>607</v>
      </c>
      <c r="E15" t="str">
        <f>matrix_pe&amp;" = planontwikkeling intern en uitvoering extern belegd"</f>
        <v>PE = planontwikkeling intern en uitvoering extern belegd</v>
      </c>
      <c r="X15" t="s">
        <v>682</v>
      </c>
    </row>
    <row r="16" spans="4:24" ht="15.75">
      <c r="D16">
        <v>34</v>
      </c>
      <c r="Q16" s="13"/>
      <c r="X16" s="6" t="s">
        <v>675</v>
      </c>
    </row>
    <row r="17" ht="15">
      <c r="D17">
        <v>234</v>
      </c>
    </row>
    <row r="18" spans="4:17" ht="15.75">
      <c r="D18">
        <v>1234</v>
      </c>
      <c r="Q18" s="12"/>
    </row>
    <row r="19" ht="15">
      <c r="D19">
        <v>234</v>
      </c>
    </row>
    <row r="20" spans="4:17" ht="15">
      <c r="D20">
        <v>1234</v>
      </c>
      <c r="K20" s="6">
        <f>VLOOKUP(profiel_gekozen,min_disciplines_goed,2,FALSE)</f>
        <v>1</v>
      </c>
      <c r="Q20" s="575"/>
    </row>
    <row r="22" ht="15">
      <c r="Q22" s="576"/>
    </row>
    <row r="23" ht="15">
      <c r="D23" t="s">
        <v>635</v>
      </c>
    </row>
    <row r="24" ht="15">
      <c r="D24" t="s">
        <v>367</v>
      </c>
    </row>
    <row r="25" ht="15">
      <c r="D25" t="s">
        <v>210</v>
      </c>
    </row>
    <row r="26" ht="15">
      <c r="D26" t="s">
        <v>620</v>
      </c>
    </row>
    <row r="27" ht="15">
      <c r="D27" t="s">
        <v>672</v>
      </c>
    </row>
    <row r="29" ht="15">
      <c r="D29" t="s">
        <v>109</v>
      </c>
    </row>
    <row r="30" ht="15">
      <c r="D30" t="s">
        <v>107</v>
      </c>
    </row>
    <row r="32" ht="15">
      <c r="H32" t="s">
        <v>634</v>
      </c>
    </row>
    <row r="33" spans="8:10" ht="15">
      <c r="H33" t="str">
        <f>lbl_vraag_must_tijdelijk</f>
        <v>(M)</v>
      </c>
      <c r="I33" t="str">
        <f>"Dit antwoord is nu nog acceptabel, maar vanaf 1 juli 2020 moet het antwoord tenminste 3 zijn."</f>
        <v>Dit antwoord is nu nog acceptabel, maar vanaf 1 juli 2020 moet het antwoord tenminste 3 zijn.</v>
      </c>
      <c r="J33">
        <f>scores_must_tijdelijk</f>
        <v>234</v>
      </c>
    </row>
    <row r="34" spans="8:10" ht="15">
      <c r="H34" t="str">
        <f>lbl_vraag_must</f>
        <v>M</v>
      </c>
      <c r="I34" s="6"/>
      <c r="J34">
        <f>scores_must</f>
        <v>34</v>
      </c>
    </row>
    <row r="35" spans="8:10" ht="15">
      <c r="H35" t="str">
        <f>lbl_extra_vraag</f>
        <v>E</v>
      </c>
      <c r="I35" s="6"/>
      <c r="J35">
        <f>scores_gewoon_1</f>
        <v>1234</v>
      </c>
    </row>
    <row r="36" spans="8:10" ht="15">
      <c r="H36" t="s">
        <v>635</v>
      </c>
      <c r="I36" s="6"/>
      <c r="J36">
        <f>scores_gewoon</f>
        <v>234</v>
      </c>
    </row>
  </sheetData>
  <conditionalFormatting sqref="Q16">
    <cfRule type="expression" priority="4" dxfId="0">
      <formula>AND(#REF!&gt;70,#REF!&lt;=75)</formula>
    </cfRule>
  </conditionalFormatting>
  <conditionalFormatting sqref="Q16">
    <cfRule type="expression" priority="3" dxfId="0">
      <formula>AND(#REF!&gt;95,#REF!&lt;=99)</formula>
    </cfRule>
  </conditionalFormatting>
  <conditionalFormatting sqref="Q18">
    <cfRule type="expression" priority="2" dxfId="0">
      <formula>AND(#REF!&gt;90,#REF!&lt;=95)</formula>
    </cfRule>
  </conditionalFormatting>
  <conditionalFormatting sqref="Q18">
    <cfRule type="expression" priority="1" dxfId="0">
      <formula>AND(#REF!&gt;95,#REF!&lt;=99)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
  <sheetViews>
    <sheetView showGridLines="0" workbookViewId="0" topLeftCell="A1">
      <selection activeCell="B9" sqref="B9"/>
    </sheetView>
  </sheetViews>
  <sheetFormatPr defaultColWidth="9.140625" defaultRowHeight="15"/>
  <cols>
    <col min="1" max="1" width="22.00390625" style="17" bestFit="1" customWidth="1"/>
    <col min="2" max="2" width="19.00390625" style="17" customWidth="1"/>
    <col min="3" max="3" width="9.140625" style="17" customWidth="1"/>
    <col min="4" max="4" width="52.00390625" style="17" customWidth="1"/>
    <col min="5" max="16384" width="9.140625" style="17" customWidth="1"/>
  </cols>
  <sheetData>
    <row r="1" ht="18">
      <c r="D1" s="75" t="s">
        <v>110</v>
      </c>
    </row>
    <row r="2" ht="15">
      <c r="D2" s="76" t="str">
        <f>'VGO-scan info'!F3</f>
        <v>V 5.0 KIWA</v>
      </c>
    </row>
    <row r="3" ht="15">
      <c r="D3" s="77"/>
    </row>
    <row r="4" ht="15"/>
    <row r="5" ht="15"/>
    <row r="6" ht="15"/>
    <row r="7" ht="15"/>
    <row r="8" ht="15.75" thickBot="1"/>
    <row r="9" spans="1:4" ht="15.75" thickBot="1">
      <c r="A9" s="78" t="s">
        <v>2</v>
      </c>
      <c r="B9" s="9"/>
      <c r="C9" s="79"/>
      <c r="D9" s="80"/>
    </row>
    <row r="10" spans="1:4" ht="15.75" thickBot="1">
      <c r="A10" s="80"/>
      <c r="B10" s="80"/>
      <c r="C10" s="80"/>
      <c r="D10" s="80"/>
    </row>
    <row r="11" spans="1:4" ht="15">
      <c r="A11" s="81" t="s">
        <v>3</v>
      </c>
      <c r="B11" s="654"/>
      <c r="C11" s="655"/>
      <c r="D11" s="656"/>
    </row>
    <row r="12" spans="1:4" ht="15">
      <c r="A12" s="82" t="s">
        <v>4</v>
      </c>
      <c r="B12" s="657"/>
      <c r="C12" s="658"/>
      <c r="D12" s="659"/>
    </row>
    <row r="13" spans="1:4" ht="15">
      <c r="A13" s="82"/>
      <c r="B13" s="657"/>
      <c r="C13" s="658"/>
      <c r="D13" s="659"/>
    </row>
    <row r="14" spans="1:4" ht="15">
      <c r="A14" s="82" t="s">
        <v>5</v>
      </c>
      <c r="B14" s="657"/>
      <c r="C14" s="658"/>
      <c r="D14" s="659"/>
    </row>
    <row r="15" spans="1:4" ht="15">
      <c r="A15" s="82"/>
      <c r="B15" s="657"/>
      <c r="C15" s="658"/>
      <c r="D15" s="659"/>
    </row>
    <row r="16" spans="1:4" ht="15">
      <c r="A16" s="82" t="s">
        <v>6</v>
      </c>
      <c r="B16" s="657"/>
      <c r="C16" s="658"/>
      <c r="D16" s="659"/>
    </row>
    <row r="17" spans="1:4" ht="15">
      <c r="A17" s="83" t="s">
        <v>7</v>
      </c>
      <c r="B17" s="657"/>
      <c r="C17" s="658"/>
      <c r="D17" s="659"/>
    </row>
    <row r="18" spans="1:4" ht="15.75" thickBot="1">
      <c r="A18" s="84" t="s">
        <v>8</v>
      </c>
      <c r="B18" s="657"/>
      <c r="C18" s="663"/>
      <c r="D18" s="664"/>
    </row>
    <row r="19" spans="1:4" ht="15.75" thickBot="1">
      <c r="A19" s="84" t="s">
        <v>196</v>
      </c>
      <c r="B19" s="660" t="s">
        <v>199</v>
      </c>
      <c r="C19" s="662"/>
      <c r="D19" s="661"/>
    </row>
    <row r="20" spans="1:4" ht="15">
      <c r="A20" s="540" t="s">
        <v>364</v>
      </c>
      <c r="C20" s="85"/>
      <c r="D20" s="85"/>
    </row>
    <row r="21" spans="1:4" ht="15.75" thickBot="1">
      <c r="A21" s="80"/>
      <c r="B21" s="80"/>
      <c r="C21" s="80"/>
      <c r="D21" s="80"/>
    </row>
    <row r="22" spans="1:4" ht="15">
      <c r="A22" s="81" t="s">
        <v>195</v>
      </c>
      <c r="B22" s="654"/>
      <c r="C22" s="655"/>
      <c r="D22" s="656"/>
    </row>
    <row r="23" spans="1:4" ht="15">
      <c r="A23" s="86" t="s">
        <v>9</v>
      </c>
      <c r="B23" s="87" t="s">
        <v>116</v>
      </c>
      <c r="C23" s="657"/>
      <c r="D23" s="659"/>
    </row>
    <row r="24" spans="1:4" ht="15">
      <c r="A24" s="83"/>
      <c r="B24" s="88" t="s">
        <v>117</v>
      </c>
      <c r="C24" s="657"/>
      <c r="D24" s="659"/>
    </row>
    <row r="25" spans="1:4" ht="15">
      <c r="A25" s="86"/>
      <c r="B25" s="88" t="s">
        <v>558</v>
      </c>
      <c r="C25" s="657"/>
      <c r="D25" s="659"/>
    </row>
    <row r="26" spans="1:4" ht="15">
      <c r="A26" s="86"/>
      <c r="B26" s="310" t="s">
        <v>115</v>
      </c>
      <c r="C26" s="657"/>
      <c r="D26" s="664"/>
    </row>
    <row r="27" spans="1:4" ht="15">
      <c r="A27" s="86"/>
      <c r="B27" s="310" t="s">
        <v>559</v>
      </c>
      <c r="C27" s="657"/>
      <c r="D27" s="664"/>
    </row>
    <row r="28" spans="1:4" ht="15">
      <c r="A28" s="86"/>
      <c r="B28" s="632"/>
      <c r="C28" s="657"/>
      <c r="D28" s="664"/>
    </row>
    <row r="29" spans="1:4" ht="15">
      <c r="A29" s="86"/>
      <c r="B29" s="632"/>
      <c r="C29" s="657"/>
      <c r="D29" s="664"/>
    </row>
    <row r="30" spans="1:4" ht="15.75" thickBot="1">
      <c r="A30" s="89"/>
      <c r="B30" s="538"/>
      <c r="C30" s="660"/>
      <c r="D30" s="661"/>
    </row>
    <row r="31" spans="1:4" ht="15.75" thickBot="1">
      <c r="A31" s="80"/>
      <c r="B31" s="80"/>
      <c r="C31" s="80"/>
      <c r="D31" s="80"/>
    </row>
    <row r="32" spans="1:4" ht="15.75" thickBot="1">
      <c r="A32" s="78" t="s">
        <v>10</v>
      </c>
      <c r="B32" s="91"/>
      <c r="C32" s="91" t="s">
        <v>11</v>
      </c>
      <c r="D32" s="537" t="s">
        <v>114</v>
      </c>
    </row>
    <row r="33" spans="1:4" ht="15">
      <c r="A33" s="86"/>
      <c r="B33" s="87">
        <v>1</v>
      </c>
      <c r="C33" s="7"/>
      <c r="D33" s="11"/>
    </row>
    <row r="34" spans="1:4" ht="15">
      <c r="A34" s="86"/>
      <c r="B34" s="88">
        <v>2</v>
      </c>
      <c r="C34" s="8"/>
      <c r="D34" s="11"/>
    </row>
    <row r="35" spans="1:4" ht="15">
      <c r="A35" s="86"/>
      <c r="B35" s="88">
        <v>3</v>
      </c>
      <c r="C35" s="8"/>
      <c r="D35" s="11"/>
    </row>
    <row r="36" spans="1:4" ht="15">
      <c r="A36" s="86"/>
      <c r="B36" s="88">
        <v>4</v>
      </c>
      <c r="C36" s="8"/>
      <c r="D36" s="11"/>
    </row>
    <row r="37" spans="1:4" ht="15">
      <c r="A37" s="86"/>
      <c r="B37" s="88">
        <v>5</v>
      </c>
      <c r="C37" s="8"/>
      <c r="D37" s="11"/>
    </row>
    <row r="38" spans="1:4" ht="15">
      <c r="A38" s="86"/>
      <c r="B38" s="88">
        <v>6</v>
      </c>
      <c r="C38" s="8"/>
      <c r="D38" s="11"/>
    </row>
    <row r="39" spans="1:4" ht="15">
      <c r="A39" s="86"/>
      <c r="B39" s="88">
        <v>7</v>
      </c>
      <c r="C39" s="8"/>
      <c r="D39" s="11"/>
    </row>
    <row r="40" spans="1:4" ht="15">
      <c r="A40" s="86"/>
      <c r="B40" s="88">
        <v>8</v>
      </c>
      <c r="C40" s="8"/>
      <c r="D40" s="11"/>
    </row>
    <row r="41" spans="1:4" ht="15">
      <c r="A41" s="86"/>
      <c r="B41" s="88">
        <v>9</v>
      </c>
      <c r="C41" s="8"/>
      <c r="D41" s="11"/>
    </row>
    <row r="42" spans="1:4" ht="15.75" thickBot="1">
      <c r="A42" s="89"/>
      <c r="B42" s="90">
        <v>10</v>
      </c>
      <c r="C42" s="538"/>
      <c r="D42" s="539"/>
    </row>
  </sheetData>
  <sheetProtection sheet="1" objects="1" scenarios="1" selectLockedCells="1"/>
  <mergeCells count="18">
    <mergeCell ref="C30:D30"/>
    <mergeCell ref="B19:D19"/>
    <mergeCell ref="C25:D25"/>
    <mergeCell ref="B15:D15"/>
    <mergeCell ref="B16:D16"/>
    <mergeCell ref="C24:D24"/>
    <mergeCell ref="B22:D22"/>
    <mergeCell ref="C23:D23"/>
    <mergeCell ref="B18:D18"/>
    <mergeCell ref="C26:D26"/>
    <mergeCell ref="C27:D27"/>
    <mergeCell ref="C28:D28"/>
    <mergeCell ref="C29:D29"/>
    <mergeCell ref="B11:D11"/>
    <mergeCell ref="B17:D17"/>
    <mergeCell ref="B12:D12"/>
    <mergeCell ref="B13:D13"/>
    <mergeCell ref="B14:D14"/>
  </mergeCells>
  <dataValidations count="2">
    <dataValidation type="list" allowBlank="1" showInputMessage="1" showErrorMessage="1" sqref="B19:D19">
      <formula1>SoortCertificaat</formula1>
    </dataValidation>
    <dataValidation type="date" allowBlank="1" showInputMessage="1" showErrorMessage="1" sqref="B9">
      <formula1>42917</formula1>
      <formula2>2958465</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0"/>
  <sheetViews>
    <sheetView showGridLines="0" zoomScale="115" zoomScaleNormal="115" zoomScaleSheetLayoutView="85" workbookViewId="0" topLeftCell="A1">
      <pane xSplit="1" topLeftCell="B1" activePane="topRight" state="frozen"/>
      <selection pane="topRight" activeCell="B6" sqref="B6"/>
    </sheetView>
  </sheetViews>
  <sheetFormatPr defaultColWidth="9.140625" defaultRowHeight="15"/>
  <cols>
    <col min="1" max="1" width="55.8515625" style="70" bestFit="1" customWidth="1"/>
    <col min="2" max="4" width="15.00390625" style="70" customWidth="1"/>
    <col min="5" max="5" width="20.7109375" style="31" hidden="1" customWidth="1"/>
    <col min="6" max="6" width="3.57421875" style="31" hidden="1" customWidth="1"/>
    <col min="7" max="7" width="16.28125" style="31" hidden="1" customWidth="1"/>
    <col min="8" max="8" width="3.57421875" style="31" hidden="1" customWidth="1"/>
    <col min="9" max="9" width="21.28125" style="31" hidden="1" customWidth="1"/>
    <col min="10" max="10" width="3.57421875" style="31" hidden="1" customWidth="1"/>
    <col min="11" max="11" width="16.7109375" style="31" hidden="1" customWidth="1"/>
    <col min="12" max="12" width="3.57421875" style="31" hidden="1" customWidth="1"/>
    <col min="13" max="13" width="14.28125" style="31" hidden="1" customWidth="1"/>
    <col min="14" max="14" width="3.57421875" style="31" hidden="1" customWidth="1"/>
    <col min="15" max="15" width="93.00390625" style="31" bestFit="1" customWidth="1"/>
    <col min="16" max="30" width="9.140625" style="31" hidden="1" customWidth="1"/>
    <col min="31" max="16384" width="9.140625" style="31" customWidth="1"/>
  </cols>
  <sheetData>
    <row r="1" spans="1:4" ht="15" customHeight="1" thickBot="1">
      <c r="A1" s="549"/>
      <c r="B1" s="550"/>
      <c r="C1" s="550"/>
      <c r="D1" s="550"/>
    </row>
    <row r="2" spans="1:29" ht="15" customHeight="1">
      <c r="A2" s="548"/>
      <c r="B2" s="665" t="s">
        <v>618</v>
      </c>
      <c r="C2" s="666"/>
      <c r="D2" s="666"/>
      <c r="E2" s="32"/>
      <c r="F2" s="32"/>
      <c r="G2" s="32"/>
      <c r="H2" s="32"/>
      <c r="I2" s="32"/>
      <c r="J2" s="32"/>
      <c r="K2" s="32"/>
      <c r="L2" s="32"/>
      <c r="M2" s="32"/>
      <c r="N2" s="33"/>
      <c r="P2" s="34" t="b">
        <f>NOT(profiel_gekozen=lbl_uitvoerder)</f>
        <v>1</v>
      </c>
      <c r="Q2" s="34">
        <f>Resultatenblad!I19</f>
        <v>1</v>
      </c>
      <c r="R2" s="34">
        <f>Resultatenblad!I18</f>
        <v>0</v>
      </c>
      <c r="S2" s="34" t="b">
        <f>AND(Q2&gt;0,R2&gt;=Q2)</f>
        <v>0</v>
      </c>
      <c r="T2" s="34" t="b">
        <f>OR(profiel_gekozen=lbl_meedenker,profiel_gekozen=lbl_adviseur)</f>
        <v>1</v>
      </c>
      <c r="U2" s="34"/>
      <c r="V2" s="34"/>
      <c r="W2" s="34">
        <v>1</v>
      </c>
      <c r="X2" s="34" t="s">
        <v>516</v>
      </c>
      <c r="Y2" s="34"/>
      <c r="Z2" s="34"/>
      <c r="AA2" s="34"/>
      <c r="AB2" s="34"/>
      <c r="AC2" s="34"/>
    </row>
    <row r="3" spans="1:29" ht="18.75" thickBot="1">
      <c r="A3" s="547"/>
      <c r="B3" s="543"/>
      <c r="C3" s="543"/>
      <c r="D3" s="543"/>
      <c r="E3" s="541"/>
      <c r="F3" s="541"/>
      <c r="G3" s="541"/>
      <c r="H3" s="541"/>
      <c r="I3" s="541"/>
      <c r="J3" s="541"/>
      <c r="K3" s="541"/>
      <c r="L3" s="541"/>
      <c r="M3" s="541"/>
      <c r="N3" s="542"/>
      <c r="P3" s="34"/>
      <c r="Q3" s="34"/>
      <c r="R3" s="34"/>
      <c r="S3" s="34"/>
      <c r="T3" s="34"/>
      <c r="U3" s="34"/>
      <c r="V3" s="34"/>
      <c r="W3" s="34"/>
      <c r="X3" s="34"/>
      <c r="Y3" s="34"/>
      <c r="Z3" s="34"/>
      <c r="AA3" s="34"/>
      <c r="AB3" s="34"/>
      <c r="AC3" s="34"/>
    </row>
    <row r="4" spans="1:30" s="34" customFormat="1" ht="18.75" thickBot="1">
      <c r="A4" s="547" t="s">
        <v>370</v>
      </c>
      <c r="B4" s="35" t="s">
        <v>371</v>
      </c>
      <c r="C4" s="36" t="s">
        <v>372</v>
      </c>
      <c r="D4" s="37" t="s">
        <v>373</v>
      </c>
      <c r="E4" s="38"/>
      <c r="F4" s="38"/>
      <c r="G4" s="38"/>
      <c r="H4" s="38"/>
      <c r="I4" s="38"/>
      <c r="J4" s="38"/>
      <c r="K4" s="38"/>
      <c r="L4" s="38"/>
      <c r="M4" s="38"/>
      <c r="N4" s="39"/>
      <c r="O4" s="34" t="str">
        <f>IF(AND(profiel_gekozen=lbl_adviseur,NOT(S2)),matrix_voorwaarde_5,IF(AND(profiel_gekozen=lbl_meedenker,NOT(S2)),matrix_voorwaarde_6,""))</f>
        <v>Er moet minimaal 1 discipline aanwezig zijn.</v>
      </c>
      <c r="P4" s="34" t="str">
        <f>matrix_nvt</f>
        <v>NVT</v>
      </c>
      <c r="Q4" s="34" t="str">
        <f>matrix_e</f>
        <v>E</v>
      </c>
      <c r="R4" s="34" t="str">
        <f>matrix_u</f>
        <v>U</v>
      </c>
      <c r="S4" s="34" t="str">
        <f>matrix_p</f>
        <v>P</v>
      </c>
      <c r="T4" s="34" t="str">
        <f>matrix_pu</f>
        <v>PU</v>
      </c>
      <c r="U4" s="34" t="str">
        <f>matrix_pe</f>
        <v>PE</v>
      </c>
      <c r="V4" s="34" t="str">
        <f>S4&amp;"+"&amp;T4</f>
        <v>P+PU</v>
      </c>
      <c r="W4" s="34" t="s">
        <v>434</v>
      </c>
      <c r="X4" s="34" t="s">
        <v>608</v>
      </c>
      <c r="Y4" s="34" t="s">
        <v>609</v>
      </c>
      <c r="Z4" s="644" t="s">
        <v>697</v>
      </c>
      <c r="AA4" s="34" t="str">
        <f>lbl_uitvoerder</f>
        <v>Uitvoerder</v>
      </c>
      <c r="AB4" s="34" t="str">
        <f>lbl_meedenker</f>
        <v>Meedenker</v>
      </c>
      <c r="AC4" s="34" t="str">
        <f>lbl_adviseur</f>
        <v>Adviseur</v>
      </c>
      <c r="AD4" s="34" t="s">
        <v>517</v>
      </c>
    </row>
    <row r="5" spans="1:30" ht="15.75" thickBot="1">
      <c r="A5" s="92" t="s">
        <v>376</v>
      </c>
      <c r="B5" s="544"/>
      <c r="C5" s="545"/>
      <c r="D5" s="546"/>
      <c r="E5" s="47" t="s">
        <v>374</v>
      </c>
      <c r="F5" s="47"/>
      <c r="G5" s="47"/>
      <c r="H5" s="47"/>
      <c r="I5" s="47"/>
      <c r="J5" s="47"/>
      <c r="K5" s="47"/>
      <c r="L5" s="47"/>
      <c r="M5" s="47"/>
      <c r="N5" s="48"/>
      <c r="O5" s="34" t="str">
        <f>IF(AD5,"",matrix_voorwaarde_4)</f>
        <v>Voor elke discipline moet minimaal 1 regel ingevuld worden en aan alle voorwaarden worden voldaan.</v>
      </c>
      <c r="P5" s="34">
        <f>SUM(P6:P9)</f>
        <v>0</v>
      </c>
      <c r="Q5" s="34">
        <f aca="true" t="shared" si="0" ref="Q5:V5">SUM(Q6:Q9)</f>
        <v>0</v>
      </c>
      <c r="R5" s="34">
        <f t="shared" si="0"/>
        <v>0</v>
      </c>
      <c r="S5" s="34">
        <f t="shared" si="0"/>
        <v>0</v>
      </c>
      <c r="T5" s="34">
        <f t="shared" si="0"/>
        <v>0</v>
      </c>
      <c r="U5" s="34">
        <f aca="true" t="shared" si="1" ref="U5">SUM(U6:U9)</f>
        <v>0</v>
      </c>
      <c r="V5" s="34">
        <f t="shared" si="0"/>
        <v>0</v>
      </c>
      <c r="Z5" s="644"/>
      <c r="AD5" s="31" t="b">
        <f>OR(AD6:AD9)</f>
        <v>0</v>
      </c>
    </row>
    <row r="6" spans="1:30" ht="15">
      <c r="A6" s="93" t="s">
        <v>377</v>
      </c>
      <c r="B6" s="72"/>
      <c r="C6" s="73"/>
      <c r="D6" s="74"/>
      <c r="E6" s="42" t="s">
        <v>378</v>
      </c>
      <c r="F6" s="43"/>
      <c r="G6" s="44" t="s">
        <v>379</v>
      </c>
      <c r="H6" s="43"/>
      <c r="I6" s="44" t="s">
        <v>380</v>
      </c>
      <c r="J6" s="43"/>
      <c r="K6" s="44" t="s">
        <v>381</v>
      </c>
      <c r="L6" s="43"/>
      <c r="M6" s="45"/>
      <c r="N6" s="46"/>
      <c r="O6" s="34" t="str">
        <f>IF(W6,IF(AND($P$2,NOT(OR(X6,Y6))),matrix_voorwaarde_7,IF(AND($P$2,NOT(X6)),matrix_voorwaarde_2,IF(AND($P$2,NOT(Y6)),matrix_voorwaarde_1,""))),matrix_voorwaarde_3)</f>
        <v>Als deze regel van toepassing is, dan moet er iets geselecteerd worden voor Onderhoud, Renovatie en Transformatie.</v>
      </c>
      <c r="P6" s="34">
        <f aca="true" t="shared" si="2" ref="P6:U9">SUMIF($B6:$D6,P$4,matrix_count)</f>
        <v>0</v>
      </c>
      <c r="Q6" s="34">
        <f t="shared" si="2"/>
        <v>0</v>
      </c>
      <c r="R6" s="34">
        <f t="shared" si="2"/>
        <v>0</v>
      </c>
      <c r="S6" s="34">
        <f t="shared" si="2"/>
        <v>0</v>
      </c>
      <c r="T6" s="34">
        <f t="shared" si="2"/>
        <v>0</v>
      </c>
      <c r="U6" s="34">
        <f t="shared" si="2"/>
        <v>0</v>
      </c>
      <c r="V6" s="34">
        <f>S6+T6</f>
        <v>0</v>
      </c>
      <c r="W6" s="34" t="b">
        <f>(SUM(P6:U6)&gt;=$W$2)</f>
        <v>0</v>
      </c>
      <c r="X6" s="34" t="b">
        <f>OR(R6&gt;0,T6&gt;0,U6&gt;0)</f>
        <v>0</v>
      </c>
      <c r="Y6" s="34" t="b">
        <f>OR(S6&gt;0,T6&gt;0,U6&gt;0)</f>
        <v>0</v>
      </c>
      <c r="Z6" s="644" t="b">
        <f>IF(T6&gt;=1,TRUE,IF(SUM($T$5:$T$26)&gt;0,U6=1,FALSE))</f>
        <v>0</v>
      </c>
      <c r="AA6" s="34" t="b">
        <f aca="true" t="shared" si="3" ref="AA6">W6</f>
        <v>0</v>
      </c>
      <c r="AB6" s="644" t="b">
        <f aca="true" t="shared" si="4" ref="AB6">AND(W6,X6,OR(Z6,T6))</f>
        <v>0</v>
      </c>
      <c r="AC6" s="644" t="b">
        <f>AND(W6,X6,Z6)</f>
        <v>0</v>
      </c>
      <c r="AD6" s="34" t="b">
        <f>IF(profiel_gekozen=lbl_uitvoerder,AA6,IF(profiel_gekozen=lbl_meedenker,AB6,IF(profiel_gekozen=lbl_adviseur,AC6,FALSE)))</f>
        <v>0</v>
      </c>
    </row>
    <row r="7" spans="1:30" ht="15">
      <c r="A7" s="93" t="s">
        <v>382</v>
      </c>
      <c r="B7" s="72"/>
      <c r="C7" s="73"/>
      <c r="D7" s="74"/>
      <c r="E7" s="49" t="s">
        <v>383</v>
      </c>
      <c r="F7" s="50"/>
      <c r="G7" s="51" t="s">
        <v>384</v>
      </c>
      <c r="H7" s="50"/>
      <c r="I7" s="51" t="s">
        <v>385</v>
      </c>
      <c r="J7" s="50"/>
      <c r="K7" s="51"/>
      <c r="L7" s="50"/>
      <c r="M7" s="52"/>
      <c r="N7" s="53"/>
      <c r="O7" s="34" t="str">
        <f>IF(W7,IF(AND($P$2,NOT(OR(X7,Y7))),matrix_voorwaarde_7,IF(AND($P$2,NOT(X7)),matrix_voorwaarde_2,IF(AND($P$2,NOT(Y7)),matrix_voorwaarde_1,""))),matrix_voorwaarde_3)</f>
        <v>Als deze regel van toepassing is, dan moet er iets geselecteerd worden voor Onderhoud, Renovatie en Transformatie.</v>
      </c>
      <c r="P7" s="34">
        <f t="shared" si="2"/>
        <v>0</v>
      </c>
      <c r="Q7" s="34">
        <f t="shared" si="2"/>
        <v>0</v>
      </c>
      <c r="R7" s="34">
        <f t="shared" si="2"/>
        <v>0</v>
      </c>
      <c r="S7" s="34">
        <f t="shared" si="2"/>
        <v>0</v>
      </c>
      <c r="T7" s="34">
        <f t="shared" si="2"/>
        <v>0</v>
      </c>
      <c r="U7" s="34">
        <f t="shared" si="2"/>
        <v>0</v>
      </c>
      <c r="V7" s="34">
        <f>S7+T7</f>
        <v>0</v>
      </c>
      <c r="W7" s="34" t="b">
        <f>(SUM(P7:U7)&gt;=$W$2)</f>
        <v>0</v>
      </c>
      <c r="X7" s="34" t="b">
        <f>OR(R7&gt;0,T7&gt;0,U7&gt;0)</f>
        <v>0</v>
      </c>
      <c r="Y7" s="34" t="b">
        <f>OR(S7&gt;0,T7&gt;0,U7&gt;0)</f>
        <v>0</v>
      </c>
      <c r="Z7" s="644" t="b">
        <f aca="true" t="shared" si="5" ref="Z7:Z9">IF(T7&gt;=1,TRUE,IF(SUM($T$5:$T$26)&gt;0,U7=1,FALSE))</f>
        <v>0</v>
      </c>
      <c r="AA7" s="34" t="b">
        <f aca="true" t="shared" si="6" ref="AA7:AA9">W7</f>
        <v>0</v>
      </c>
      <c r="AB7" s="644" t="b">
        <f>AND(W7,X7,OR(Z7,T7))</f>
        <v>0</v>
      </c>
      <c r="AC7" s="644" t="b">
        <f aca="true" t="shared" si="7" ref="AC7:AC9">AND(W7,X7,Z7)</f>
        <v>0</v>
      </c>
      <c r="AD7" s="34" t="b">
        <f>IF(profiel_gekozen=lbl_uitvoerder,AA7,IF(profiel_gekozen=lbl_meedenker,AB7,IF(profiel_gekozen=lbl_adviseur,AC7,FALSE)))</f>
        <v>0</v>
      </c>
    </row>
    <row r="8" spans="1:30" ht="15">
      <c r="A8" s="93" t="s">
        <v>386</v>
      </c>
      <c r="B8" s="72"/>
      <c r="C8" s="73"/>
      <c r="D8" s="74"/>
      <c r="E8" s="49" t="s">
        <v>378</v>
      </c>
      <c r="F8" s="50"/>
      <c r="G8" s="51" t="s">
        <v>379</v>
      </c>
      <c r="H8" s="50"/>
      <c r="I8" s="51" t="s">
        <v>385</v>
      </c>
      <c r="J8" s="50"/>
      <c r="K8" s="51" t="s">
        <v>387</v>
      </c>
      <c r="L8" s="50"/>
      <c r="M8" s="52"/>
      <c r="N8" s="53"/>
      <c r="O8" s="34" t="str">
        <f>IF(W8,IF(AND($P$2,NOT(OR(X8,Y8))),matrix_voorwaarde_7,IF(AND($P$2,NOT(X8)),matrix_voorwaarde_2,IF(AND($P$2,NOT(Y8)),matrix_voorwaarde_1,""))),matrix_voorwaarde_3)</f>
        <v>Als deze regel van toepassing is, dan moet er iets geselecteerd worden voor Onderhoud, Renovatie en Transformatie.</v>
      </c>
      <c r="P8" s="34">
        <f t="shared" si="2"/>
        <v>0</v>
      </c>
      <c r="Q8" s="34">
        <f t="shared" si="2"/>
        <v>0</v>
      </c>
      <c r="R8" s="34">
        <f t="shared" si="2"/>
        <v>0</v>
      </c>
      <c r="S8" s="34">
        <f t="shared" si="2"/>
        <v>0</v>
      </c>
      <c r="T8" s="34">
        <f t="shared" si="2"/>
        <v>0</v>
      </c>
      <c r="U8" s="34">
        <f t="shared" si="2"/>
        <v>0</v>
      </c>
      <c r="V8" s="34">
        <f>S8+T8</f>
        <v>0</v>
      </c>
      <c r="W8" s="34" t="b">
        <f>(SUM(P8:U8)&gt;=$W$2)</f>
        <v>0</v>
      </c>
      <c r="X8" s="34" t="b">
        <f>OR(R8&gt;0,T8&gt;0,U8&gt;0)</f>
        <v>0</v>
      </c>
      <c r="Y8" s="34" t="b">
        <f>OR(S8&gt;0,T8&gt;0,U8&gt;0)</f>
        <v>0</v>
      </c>
      <c r="Z8" s="644" t="b">
        <f t="shared" si="5"/>
        <v>0</v>
      </c>
      <c r="AA8" s="34" t="b">
        <f t="shared" si="6"/>
        <v>0</v>
      </c>
      <c r="AB8" s="644" t="b">
        <f aca="true" t="shared" si="8" ref="AB8:AB9">AND(W8,X8,OR(Z8,T8))</f>
        <v>0</v>
      </c>
      <c r="AC8" s="644" t="b">
        <f t="shared" si="7"/>
        <v>0</v>
      </c>
      <c r="AD8" s="34" t="b">
        <f>IF(profiel_gekozen=lbl_uitvoerder,AA8,IF(profiel_gekozen=lbl_meedenker,AB8,IF(profiel_gekozen=lbl_adviseur,AC8,FALSE)))</f>
        <v>0</v>
      </c>
    </row>
    <row r="9" spans="1:30" ht="15.75" thickBot="1">
      <c r="A9" s="93" t="s">
        <v>388</v>
      </c>
      <c r="B9" s="72"/>
      <c r="C9" s="73"/>
      <c r="D9" s="74"/>
      <c r="E9" s="54" t="s">
        <v>389</v>
      </c>
      <c r="F9" s="55"/>
      <c r="G9" s="56" t="s">
        <v>390</v>
      </c>
      <c r="H9" s="55"/>
      <c r="I9" s="56" t="s">
        <v>391</v>
      </c>
      <c r="J9" s="55"/>
      <c r="K9" s="56"/>
      <c r="L9" s="55"/>
      <c r="M9" s="57"/>
      <c r="N9" s="58"/>
      <c r="O9" s="34" t="str">
        <f>IF(W9,IF(AND($P$2,NOT(OR(X9,Y9))),matrix_voorwaarde_7,IF(AND($P$2,NOT(X9)),matrix_voorwaarde_2,IF(AND($P$2,NOT(Y9)),matrix_voorwaarde_1,""))),matrix_voorwaarde_3)</f>
        <v>Als deze regel van toepassing is, dan moet er iets geselecteerd worden voor Onderhoud, Renovatie en Transformatie.</v>
      </c>
      <c r="P9" s="34">
        <f t="shared" si="2"/>
        <v>0</v>
      </c>
      <c r="Q9" s="34">
        <f t="shared" si="2"/>
        <v>0</v>
      </c>
      <c r="R9" s="34">
        <f t="shared" si="2"/>
        <v>0</v>
      </c>
      <c r="S9" s="34">
        <f t="shared" si="2"/>
        <v>0</v>
      </c>
      <c r="T9" s="34">
        <f t="shared" si="2"/>
        <v>0</v>
      </c>
      <c r="U9" s="34">
        <f t="shared" si="2"/>
        <v>0</v>
      </c>
      <c r="V9" s="34">
        <f>S9+T9</f>
        <v>0</v>
      </c>
      <c r="W9" s="34" t="b">
        <f>(SUM(P9:U9)&gt;=$W$2)</f>
        <v>0</v>
      </c>
      <c r="X9" s="34" t="b">
        <f>OR(R9&gt;0,T9&gt;0,U9&gt;0)</f>
        <v>0</v>
      </c>
      <c r="Y9" s="34" t="b">
        <f>OR(S9&gt;0,T9&gt;0,U9&gt;0)</f>
        <v>0</v>
      </c>
      <c r="Z9" s="644" t="b">
        <f t="shared" si="5"/>
        <v>0</v>
      </c>
      <c r="AA9" s="34" t="b">
        <f t="shared" si="6"/>
        <v>0</v>
      </c>
      <c r="AB9" s="644" t="b">
        <f t="shared" si="8"/>
        <v>0</v>
      </c>
      <c r="AC9" s="644" t="b">
        <f t="shared" si="7"/>
        <v>0</v>
      </c>
      <c r="AD9" s="34" t="b">
        <f>IF(profiel_gekozen=lbl_uitvoerder,AA9,IF(profiel_gekozen=lbl_meedenker,AB9,IF(profiel_gekozen=lbl_adviseur,AC9,FALSE)))</f>
        <v>0</v>
      </c>
    </row>
    <row r="10" spans="1:30" ht="15.75" thickBot="1">
      <c r="A10" s="92" t="s">
        <v>392</v>
      </c>
      <c r="B10" s="544"/>
      <c r="C10" s="545"/>
      <c r="D10" s="546"/>
      <c r="E10" s="59"/>
      <c r="F10" s="59"/>
      <c r="G10" s="59"/>
      <c r="H10" s="59"/>
      <c r="I10" s="59"/>
      <c r="J10" s="59"/>
      <c r="K10" s="60"/>
      <c r="L10" s="60"/>
      <c r="M10" s="60"/>
      <c r="N10" s="61"/>
      <c r="O10" s="34" t="str">
        <f>IF(AD10,"",matrix_voorwaarde_4)</f>
        <v>Voor elke discipline moet minimaal 1 regel ingevuld worden en aan alle voorwaarden worden voldaan.</v>
      </c>
      <c r="P10" s="34">
        <f>SUM(P11:P15)</f>
        <v>0</v>
      </c>
      <c r="Q10" s="34">
        <f aca="true" t="shared" si="9" ref="Q10:V10">SUM(Q11:Q15)</f>
        <v>0</v>
      </c>
      <c r="R10" s="34">
        <f t="shared" si="9"/>
        <v>0</v>
      </c>
      <c r="S10" s="34">
        <f t="shared" si="9"/>
        <v>0</v>
      </c>
      <c r="T10" s="34">
        <f t="shared" si="9"/>
        <v>0</v>
      </c>
      <c r="U10" s="34">
        <f aca="true" t="shared" si="10" ref="U10">SUM(U11:U15)</f>
        <v>0</v>
      </c>
      <c r="V10" s="34">
        <f t="shared" si="9"/>
        <v>0</v>
      </c>
      <c r="Z10" s="644"/>
      <c r="AD10" s="31" t="b">
        <f>OR(AD11:AD15)</f>
        <v>0</v>
      </c>
    </row>
    <row r="11" spans="1:30" ht="15">
      <c r="A11" s="93" t="s">
        <v>393</v>
      </c>
      <c r="B11" s="72"/>
      <c r="C11" s="73"/>
      <c r="D11" s="74"/>
      <c r="E11" s="42" t="s">
        <v>394</v>
      </c>
      <c r="F11" s="43"/>
      <c r="G11" s="44" t="s">
        <v>381</v>
      </c>
      <c r="H11" s="43"/>
      <c r="I11" s="44" t="s">
        <v>395</v>
      </c>
      <c r="J11" s="43"/>
      <c r="K11" s="44" t="s">
        <v>396</v>
      </c>
      <c r="L11" s="43"/>
      <c r="M11" s="45"/>
      <c r="N11" s="46"/>
      <c r="O11" s="34" t="str">
        <f>IF(W11,IF(AND($P$2,NOT(OR(X11,Y11))),matrix_voorwaarde_7,IF(AND($P$2,NOT(X11)),matrix_voorwaarde_2,IF(AND($P$2,NOT(Y11)),matrix_voorwaarde_1,""))),matrix_voorwaarde_3)</f>
        <v>Als deze regel van toepassing is, dan moet er iets geselecteerd worden voor Onderhoud, Renovatie en Transformatie.</v>
      </c>
      <c r="P11" s="34">
        <f aca="true" t="shared" si="11" ref="P11:U15">SUMIF($B11:$D11,P$4,matrix_count)</f>
        <v>0</v>
      </c>
      <c r="Q11" s="34">
        <f t="shared" si="11"/>
        <v>0</v>
      </c>
      <c r="R11" s="34">
        <f t="shared" si="11"/>
        <v>0</v>
      </c>
      <c r="S11" s="34">
        <f t="shared" si="11"/>
        <v>0</v>
      </c>
      <c r="T11" s="34">
        <f t="shared" si="11"/>
        <v>0</v>
      </c>
      <c r="U11" s="34">
        <f t="shared" si="11"/>
        <v>0</v>
      </c>
      <c r="V11" s="34">
        <f>S11+T11</f>
        <v>0</v>
      </c>
      <c r="W11" s="34" t="b">
        <f>(SUM(P11:U11)&gt;=$W$2)</f>
        <v>0</v>
      </c>
      <c r="X11" s="34" t="b">
        <f>OR(R11&gt;0,T11&gt;0,U11&gt;0)</f>
        <v>0</v>
      </c>
      <c r="Y11" s="34" t="b">
        <f>OR(S11&gt;0,T11&gt;0,U11&gt;0)</f>
        <v>0</v>
      </c>
      <c r="Z11" s="644" t="b">
        <f aca="true" t="shared" si="12" ref="Z11:Z15">IF(T11&gt;=1,TRUE,IF(SUM($T$5:$T$26)&gt;0,U11=1,FALSE))</f>
        <v>0</v>
      </c>
      <c r="AA11" s="34" t="b">
        <f aca="true" t="shared" si="13" ref="AA11:AA15">W11</f>
        <v>0</v>
      </c>
      <c r="AB11" s="644" t="b">
        <f aca="true" t="shared" si="14" ref="AB11:AB15">AND(W11,X11,OR(Z11,T11))</f>
        <v>0</v>
      </c>
      <c r="AC11" s="644" t="b">
        <f aca="true" t="shared" si="15" ref="AC11:AC15">AND(W11,X11,Z11)</f>
        <v>0</v>
      </c>
      <c r="AD11" s="34" t="b">
        <f>IF(profiel_gekozen=lbl_uitvoerder,AA11,IF(profiel_gekozen=lbl_meedenker,AB11,IF(profiel_gekozen=lbl_adviseur,AC11,FALSE)))</f>
        <v>0</v>
      </c>
    </row>
    <row r="12" spans="1:30" ht="15">
      <c r="A12" s="93" t="s">
        <v>397</v>
      </c>
      <c r="B12" s="72"/>
      <c r="C12" s="73"/>
      <c r="D12" s="74"/>
      <c r="E12" s="49"/>
      <c r="F12" s="50"/>
      <c r="G12" s="51"/>
      <c r="H12" s="50"/>
      <c r="I12" s="51"/>
      <c r="J12" s="50"/>
      <c r="K12" s="51"/>
      <c r="L12" s="50"/>
      <c r="M12" s="52"/>
      <c r="N12" s="53"/>
      <c r="O12" s="34" t="str">
        <f>IF(W12,IF(AND($P$2,NOT(OR(X12,Y12))),matrix_voorwaarde_7,IF(AND($P$2,NOT(X12)),matrix_voorwaarde_2,IF(AND($P$2,NOT(Y12)),matrix_voorwaarde_1,""))),matrix_voorwaarde_3)</f>
        <v>Als deze regel van toepassing is, dan moet er iets geselecteerd worden voor Onderhoud, Renovatie en Transformatie.</v>
      </c>
      <c r="P12" s="34">
        <f t="shared" si="11"/>
        <v>0</v>
      </c>
      <c r="Q12" s="34">
        <f t="shared" si="11"/>
        <v>0</v>
      </c>
      <c r="R12" s="34">
        <f t="shared" si="11"/>
        <v>0</v>
      </c>
      <c r="S12" s="34">
        <f t="shared" si="11"/>
        <v>0</v>
      </c>
      <c r="T12" s="34">
        <f t="shared" si="11"/>
        <v>0</v>
      </c>
      <c r="U12" s="34">
        <f t="shared" si="11"/>
        <v>0</v>
      </c>
      <c r="V12" s="34">
        <f>S12+T12</f>
        <v>0</v>
      </c>
      <c r="W12" s="34" t="b">
        <f>(SUM(P12:U12)&gt;=$W$2)</f>
        <v>0</v>
      </c>
      <c r="X12" s="34" t="b">
        <f>OR(R12&gt;0,T12&gt;0,U12&gt;0)</f>
        <v>0</v>
      </c>
      <c r="Y12" s="34" t="b">
        <f>OR(S12&gt;0,T12&gt;0,U12&gt;0)</f>
        <v>0</v>
      </c>
      <c r="Z12" s="644" t="b">
        <f t="shared" si="12"/>
        <v>0</v>
      </c>
      <c r="AA12" s="34" t="b">
        <f t="shared" si="13"/>
        <v>0</v>
      </c>
      <c r="AB12" s="644" t="b">
        <f t="shared" si="14"/>
        <v>0</v>
      </c>
      <c r="AC12" s="644" t="b">
        <f t="shared" si="15"/>
        <v>0</v>
      </c>
      <c r="AD12" s="34" t="b">
        <f>IF(profiel_gekozen=lbl_uitvoerder,AA12,IF(profiel_gekozen=lbl_meedenker,AB12,IF(profiel_gekozen=lbl_adviseur,AC12,FALSE)))</f>
        <v>0</v>
      </c>
    </row>
    <row r="13" spans="1:30" ht="15">
      <c r="A13" s="93" t="s">
        <v>398</v>
      </c>
      <c r="B13" s="72"/>
      <c r="C13" s="73"/>
      <c r="D13" s="74"/>
      <c r="E13" s="49" t="s">
        <v>399</v>
      </c>
      <c r="F13" s="50"/>
      <c r="G13" s="51" t="s">
        <v>400</v>
      </c>
      <c r="H13" s="50"/>
      <c r="I13" s="51" t="s">
        <v>401</v>
      </c>
      <c r="J13" s="50"/>
      <c r="K13" s="51" t="s">
        <v>402</v>
      </c>
      <c r="L13" s="50"/>
      <c r="M13" s="52"/>
      <c r="N13" s="53"/>
      <c r="O13" s="34" t="str">
        <f>IF(W13,IF(AND($P$2,NOT(OR(X13,Y13))),matrix_voorwaarde_7,IF(AND($P$2,NOT(X13)),matrix_voorwaarde_2,IF(AND($P$2,NOT(Y13)),matrix_voorwaarde_1,""))),matrix_voorwaarde_3)</f>
        <v>Als deze regel van toepassing is, dan moet er iets geselecteerd worden voor Onderhoud, Renovatie en Transformatie.</v>
      </c>
      <c r="P13" s="34">
        <f t="shared" si="11"/>
        <v>0</v>
      </c>
      <c r="Q13" s="34">
        <f t="shared" si="11"/>
        <v>0</v>
      </c>
      <c r="R13" s="34">
        <f t="shared" si="11"/>
        <v>0</v>
      </c>
      <c r="S13" s="34">
        <f t="shared" si="11"/>
        <v>0</v>
      </c>
      <c r="T13" s="34">
        <f t="shared" si="11"/>
        <v>0</v>
      </c>
      <c r="U13" s="34">
        <f t="shared" si="11"/>
        <v>0</v>
      </c>
      <c r="V13" s="34">
        <f>S13+T13</f>
        <v>0</v>
      </c>
      <c r="W13" s="34" t="b">
        <f>(SUM(P13:U13)&gt;=$W$2)</f>
        <v>0</v>
      </c>
      <c r="X13" s="34" t="b">
        <f>OR(R13&gt;0,T13&gt;0,U13&gt;0)</f>
        <v>0</v>
      </c>
      <c r="Y13" s="34" t="b">
        <f>OR(S13&gt;0,T13&gt;0,U13&gt;0)</f>
        <v>0</v>
      </c>
      <c r="Z13" s="644" t="b">
        <f t="shared" si="12"/>
        <v>0</v>
      </c>
      <c r="AA13" s="34" t="b">
        <f t="shared" si="13"/>
        <v>0</v>
      </c>
      <c r="AB13" s="644" t="b">
        <f t="shared" si="14"/>
        <v>0</v>
      </c>
      <c r="AC13" s="644" t="b">
        <f t="shared" si="15"/>
        <v>0</v>
      </c>
      <c r="AD13" s="34" t="b">
        <f>IF(profiel_gekozen=lbl_uitvoerder,AA13,IF(profiel_gekozen=lbl_meedenker,AB13,IF(profiel_gekozen=lbl_adviseur,AC13,FALSE)))</f>
        <v>0</v>
      </c>
    </row>
    <row r="14" spans="1:30" ht="15">
      <c r="A14" s="93" t="s">
        <v>403</v>
      </c>
      <c r="B14" s="72"/>
      <c r="C14" s="73"/>
      <c r="D14" s="74"/>
      <c r="E14" s="49"/>
      <c r="F14" s="50"/>
      <c r="G14" s="51"/>
      <c r="H14" s="50"/>
      <c r="I14" s="51"/>
      <c r="J14" s="50"/>
      <c r="K14" s="51"/>
      <c r="L14" s="50"/>
      <c r="M14" s="52"/>
      <c r="N14" s="53"/>
      <c r="O14" s="34" t="str">
        <f>IF(W14,IF(AND($P$2,NOT(OR(X14,Y14))),matrix_voorwaarde_7,IF(AND($P$2,NOT(X14)),matrix_voorwaarde_2,IF(AND($P$2,NOT(Y14)),matrix_voorwaarde_1,""))),matrix_voorwaarde_3)</f>
        <v>Als deze regel van toepassing is, dan moet er iets geselecteerd worden voor Onderhoud, Renovatie en Transformatie.</v>
      </c>
      <c r="P14" s="34">
        <f t="shared" si="11"/>
        <v>0</v>
      </c>
      <c r="Q14" s="34">
        <f t="shared" si="11"/>
        <v>0</v>
      </c>
      <c r="R14" s="34">
        <f t="shared" si="11"/>
        <v>0</v>
      </c>
      <c r="S14" s="34">
        <f t="shared" si="11"/>
        <v>0</v>
      </c>
      <c r="T14" s="34">
        <f t="shared" si="11"/>
        <v>0</v>
      </c>
      <c r="U14" s="34">
        <f t="shared" si="11"/>
        <v>0</v>
      </c>
      <c r="V14" s="34">
        <f>S14+T14</f>
        <v>0</v>
      </c>
      <c r="W14" s="34" t="b">
        <f>(SUM(P14:U14)&gt;=$W$2)</f>
        <v>0</v>
      </c>
      <c r="X14" s="34" t="b">
        <f>OR(R14&gt;0,T14&gt;0,U14&gt;0)</f>
        <v>0</v>
      </c>
      <c r="Y14" s="34" t="b">
        <f>OR(S14&gt;0,T14&gt;0,U14&gt;0)</f>
        <v>0</v>
      </c>
      <c r="Z14" s="644" t="b">
        <f t="shared" si="12"/>
        <v>0</v>
      </c>
      <c r="AA14" s="34" t="b">
        <f t="shared" si="13"/>
        <v>0</v>
      </c>
      <c r="AB14" s="644" t="b">
        <f t="shared" si="14"/>
        <v>0</v>
      </c>
      <c r="AC14" s="644" t="b">
        <f t="shared" si="15"/>
        <v>0</v>
      </c>
      <c r="AD14" s="34" t="b">
        <f>IF(profiel_gekozen=lbl_uitvoerder,AA14,IF(profiel_gekozen=lbl_meedenker,AB14,IF(profiel_gekozen=lbl_adviseur,AC14,FALSE)))</f>
        <v>0</v>
      </c>
    </row>
    <row r="15" spans="1:30" ht="15.75" thickBot="1">
      <c r="A15" s="93" t="s">
        <v>404</v>
      </c>
      <c r="B15" s="72"/>
      <c r="C15" s="73"/>
      <c r="D15" s="74"/>
      <c r="E15" s="54"/>
      <c r="F15" s="55"/>
      <c r="G15" s="56"/>
      <c r="H15" s="55"/>
      <c r="I15" s="56"/>
      <c r="J15" s="55"/>
      <c r="K15" s="56"/>
      <c r="L15" s="55"/>
      <c r="M15" s="57"/>
      <c r="N15" s="58"/>
      <c r="O15" s="34" t="str">
        <f>IF(W15,IF(AND($P$2,NOT(OR(X15,Y15))),matrix_voorwaarde_7,IF(AND($P$2,NOT(X15)),matrix_voorwaarde_2,IF(AND($P$2,NOT(Y15)),matrix_voorwaarde_1,""))),matrix_voorwaarde_3)</f>
        <v>Als deze regel van toepassing is, dan moet er iets geselecteerd worden voor Onderhoud, Renovatie en Transformatie.</v>
      </c>
      <c r="P15" s="34">
        <f t="shared" si="11"/>
        <v>0</v>
      </c>
      <c r="Q15" s="34">
        <f t="shared" si="11"/>
        <v>0</v>
      </c>
      <c r="R15" s="34">
        <f t="shared" si="11"/>
        <v>0</v>
      </c>
      <c r="S15" s="34">
        <f t="shared" si="11"/>
        <v>0</v>
      </c>
      <c r="T15" s="34">
        <f t="shared" si="11"/>
        <v>0</v>
      </c>
      <c r="U15" s="34">
        <f t="shared" si="11"/>
        <v>0</v>
      </c>
      <c r="V15" s="34">
        <f>S15+T15</f>
        <v>0</v>
      </c>
      <c r="W15" s="34" t="b">
        <f>(SUM(P15:U15)&gt;=$W$2)</f>
        <v>0</v>
      </c>
      <c r="X15" s="34" t="b">
        <f>OR(R15&gt;0,T15&gt;0,U15&gt;0)</f>
        <v>0</v>
      </c>
      <c r="Y15" s="34" t="b">
        <f>OR(S15&gt;0,T15&gt;0,U15&gt;0)</f>
        <v>0</v>
      </c>
      <c r="Z15" s="644" t="b">
        <f t="shared" si="12"/>
        <v>0</v>
      </c>
      <c r="AA15" s="34" t="b">
        <f t="shared" si="13"/>
        <v>0</v>
      </c>
      <c r="AB15" s="644" t="b">
        <f t="shared" si="14"/>
        <v>0</v>
      </c>
      <c r="AC15" s="644" t="b">
        <f t="shared" si="15"/>
        <v>0</v>
      </c>
      <c r="AD15" s="34" t="b">
        <f>IF(profiel_gekozen=lbl_uitvoerder,AA15,IF(profiel_gekozen=lbl_meedenker,AB15,IF(profiel_gekozen=lbl_adviseur,AC15,FALSE)))</f>
        <v>0</v>
      </c>
    </row>
    <row r="16" spans="1:30" ht="15.75" thickBot="1">
      <c r="A16" s="92" t="s">
        <v>405</v>
      </c>
      <c r="B16" s="564"/>
      <c r="C16" s="565"/>
      <c r="D16" s="546"/>
      <c r="E16" s="59"/>
      <c r="F16" s="59"/>
      <c r="G16" s="59"/>
      <c r="H16" s="59"/>
      <c r="I16" s="59"/>
      <c r="J16" s="59"/>
      <c r="K16" s="60"/>
      <c r="L16" s="60"/>
      <c r="M16" s="60"/>
      <c r="N16" s="61"/>
      <c r="O16" s="34" t="str">
        <f>IF(AD16,"",matrix_voorwaarde_4)</f>
        <v>Voor elke discipline moet minimaal 1 regel ingevuld worden en aan alle voorwaarden worden voldaan.</v>
      </c>
      <c r="P16" s="34">
        <f>SUM(P17:P20)</f>
        <v>0</v>
      </c>
      <c r="Q16" s="34">
        <f aca="true" t="shared" si="16" ref="Q16:V16">SUM(Q17:Q20)</f>
        <v>0</v>
      </c>
      <c r="R16" s="34">
        <f t="shared" si="16"/>
        <v>0</v>
      </c>
      <c r="S16" s="34">
        <f t="shared" si="16"/>
        <v>0</v>
      </c>
      <c r="T16" s="34">
        <f t="shared" si="16"/>
        <v>0</v>
      </c>
      <c r="U16" s="34">
        <f aca="true" t="shared" si="17" ref="U16">SUM(U17:U20)</f>
        <v>0</v>
      </c>
      <c r="V16" s="34">
        <f t="shared" si="16"/>
        <v>0</v>
      </c>
      <c r="Z16" s="644"/>
      <c r="AD16" s="31" t="b">
        <f>OR(AD17:AD20)</f>
        <v>0</v>
      </c>
    </row>
    <row r="17" spans="1:30" ht="15">
      <c r="A17" s="93" t="s">
        <v>406</v>
      </c>
      <c r="B17" s="72"/>
      <c r="C17" s="73"/>
      <c r="D17" s="74"/>
      <c r="E17" s="42" t="s">
        <v>407</v>
      </c>
      <c r="F17" s="62"/>
      <c r="G17" s="44" t="s">
        <v>408</v>
      </c>
      <c r="H17" s="43"/>
      <c r="I17" s="44" t="s">
        <v>409</v>
      </c>
      <c r="J17" s="43"/>
      <c r="K17" s="44" t="s">
        <v>410</v>
      </c>
      <c r="L17" s="43"/>
      <c r="M17" s="44"/>
      <c r="N17" s="63"/>
      <c r="O17" s="34" t="str">
        <f>IF(W17,IF(AND($P$2,NOT(OR(X17,Y17))),matrix_voorwaarde_7,IF(AND($P$2,NOT(X17)),matrix_voorwaarde_2,IF(AND($P$2,NOT(Y17)),matrix_voorwaarde_1,""))),matrix_voorwaarde_3)</f>
        <v>Als deze regel van toepassing is, dan moet er iets geselecteerd worden voor Onderhoud, Renovatie en Transformatie.</v>
      </c>
      <c r="P17" s="34">
        <f aca="true" t="shared" si="18" ref="P17:U20">SUMIF($B17:$D17,P$4,matrix_count)</f>
        <v>0</v>
      </c>
      <c r="Q17" s="34">
        <f t="shared" si="18"/>
        <v>0</v>
      </c>
      <c r="R17" s="34">
        <f t="shared" si="18"/>
        <v>0</v>
      </c>
      <c r="S17" s="34">
        <f t="shared" si="18"/>
        <v>0</v>
      </c>
      <c r="T17" s="34">
        <f t="shared" si="18"/>
        <v>0</v>
      </c>
      <c r="U17" s="34">
        <f t="shared" si="18"/>
        <v>0</v>
      </c>
      <c r="V17" s="34">
        <f>S17+T17</f>
        <v>0</v>
      </c>
      <c r="W17" s="34" t="b">
        <f>(SUM(P17:U17)&gt;=$W$2)</f>
        <v>0</v>
      </c>
      <c r="X17" s="34" t="b">
        <f>OR(R17&gt;0,T17&gt;0,U17&gt;0)</f>
        <v>0</v>
      </c>
      <c r="Y17" s="34" t="b">
        <f>OR(S17&gt;0,T17&gt;0,U17&gt;0)</f>
        <v>0</v>
      </c>
      <c r="Z17" s="644" t="b">
        <f aca="true" t="shared" si="19" ref="Z17:Z20">IF(T17&gt;=1,TRUE,IF(SUM($T$5:$T$26)&gt;0,U17=1,FALSE))</f>
        <v>0</v>
      </c>
      <c r="AA17" s="34" t="b">
        <f aca="true" t="shared" si="20" ref="AA17:AA20">W17</f>
        <v>0</v>
      </c>
      <c r="AB17" s="644" t="b">
        <f aca="true" t="shared" si="21" ref="AB17:AB20">AND(W17,X17,OR(Z17,T17))</f>
        <v>0</v>
      </c>
      <c r="AC17" s="644" t="b">
        <f aca="true" t="shared" si="22" ref="AC17:AC20">AND(W17,X17,Z17)</f>
        <v>0</v>
      </c>
      <c r="AD17" s="34" t="b">
        <f>IF(profiel_gekozen=lbl_uitvoerder,AA17,IF(profiel_gekozen=lbl_meedenker,AB17,IF(profiel_gekozen=lbl_adviseur,AC17,FALSE)))</f>
        <v>0</v>
      </c>
    </row>
    <row r="18" spans="1:30" ht="15">
      <c r="A18" s="93" t="s">
        <v>411</v>
      </c>
      <c r="B18" s="72"/>
      <c r="C18" s="73"/>
      <c r="D18" s="74"/>
      <c r="E18" s="49" t="s">
        <v>412</v>
      </c>
      <c r="F18" s="64"/>
      <c r="G18" s="51" t="s">
        <v>413</v>
      </c>
      <c r="H18" s="50"/>
      <c r="I18" s="51"/>
      <c r="J18" s="50"/>
      <c r="K18" s="51"/>
      <c r="L18" s="50"/>
      <c r="M18" s="51"/>
      <c r="N18" s="65"/>
      <c r="O18" s="34" t="str">
        <f>IF(W18,IF(AND($P$2,NOT(OR(X18,Y18))),matrix_voorwaarde_7,IF(AND($P$2,NOT(X18)),matrix_voorwaarde_2,IF(AND($P$2,NOT(Y18)),matrix_voorwaarde_1,""))),matrix_voorwaarde_3)</f>
        <v>Als deze regel van toepassing is, dan moet er iets geselecteerd worden voor Onderhoud, Renovatie en Transformatie.</v>
      </c>
      <c r="P18" s="34">
        <f t="shared" si="18"/>
        <v>0</v>
      </c>
      <c r="Q18" s="34">
        <f t="shared" si="18"/>
        <v>0</v>
      </c>
      <c r="R18" s="34">
        <f t="shared" si="18"/>
        <v>0</v>
      </c>
      <c r="S18" s="34">
        <f t="shared" si="18"/>
        <v>0</v>
      </c>
      <c r="T18" s="34">
        <f t="shared" si="18"/>
        <v>0</v>
      </c>
      <c r="U18" s="34">
        <f t="shared" si="18"/>
        <v>0</v>
      </c>
      <c r="V18" s="34">
        <f>S18+T18</f>
        <v>0</v>
      </c>
      <c r="W18" s="34" t="b">
        <f>(SUM(P18:U18)&gt;=$W$2)</f>
        <v>0</v>
      </c>
      <c r="X18" s="34" t="b">
        <f>OR(R18&gt;0,T18&gt;0,U18&gt;0)</f>
        <v>0</v>
      </c>
      <c r="Y18" s="34" t="b">
        <f>OR(S18&gt;0,T18&gt;0,U18&gt;0)</f>
        <v>0</v>
      </c>
      <c r="Z18" s="644" t="b">
        <f t="shared" si="19"/>
        <v>0</v>
      </c>
      <c r="AA18" s="34" t="b">
        <f t="shared" si="20"/>
        <v>0</v>
      </c>
      <c r="AB18" s="644" t="b">
        <f t="shared" si="21"/>
        <v>0</v>
      </c>
      <c r="AC18" s="644" t="b">
        <f t="shared" si="22"/>
        <v>0</v>
      </c>
      <c r="AD18" s="34" t="b">
        <f>IF(profiel_gekozen=lbl_uitvoerder,AA18,IF(profiel_gekozen=lbl_meedenker,AB18,IF(profiel_gekozen=lbl_adviseur,AC18,FALSE)))</f>
        <v>0</v>
      </c>
    </row>
    <row r="19" spans="1:30" ht="15">
      <c r="A19" s="93" t="s">
        <v>414</v>
      </c>
      <c r="B19" s="72"/>
      <c r="C19" s="73"/>
      <c r="D19" s="74"/>
      <c r="E19" s="49" t="s">
        <v>415</v>
      </c>
      <c r="F19" s="64"/>
      <c r="G19" s="51" t="s">
        <v>416</v>
      </c>
      <c r="H19" s="50"/>
      <c r="I19" s="51" t="s">
        <v>417</v>
      </c>
      <c r="J19" s="50"/>
      <c r="K19" s="51"/>
      <c r="L19" s="50"/>
      <c r="M19" s="51"/>
      <c r="N19" s="65"/>
      <c r="O19" s="34" t="str">
        <f>IF(W19,IF(AND($P$2,NOT(OR(X19,Y19))),matrix_voorwaarde_7,IF(AND($P$2,NOT(X19)),matrix_voorwaarde_2,IF(AND($P$2,NOT(Y19)),matrix_voorwaarde_1,""))),matrix_voorwaarde_3)</f>
        <v>Als deze regel van toepassing is, dan moet er iets geselecteerd worden voor Onderhoud, Renovatie en Transformatie.</v>
      </c>
      <c r="P19" s="34">
        <f t="shared" si="18"/>
        <v>0</v>
      </c>
      <c r="Q19" s="34">
        <f t="shared" si="18"/>
        <v>0</v>
      </c>
      <c r="R19" s="34">
        <f t="shared" si="18"/>
        <v>0</v>
      </c>
      <c r="S19" s="34">
        <f t="shared" si="18"/>
        <v>0</v>
      </c>
      <c r="T19" s="34">
        <f t="shared" si="18"/>
        <v>0</v>
      </c>
      <c r="U19" s="34">
        <f t="shared" si="18"/>
        <v>0</v>
      </c>
      <c r="V19" s="34">
        <f>S19+T19</f>
        <v>0</v>
      </c>
      <c r="W19" s="34" t="b">
        <f>(SUM(P19:U19)&gt;=$W$2)</f>
        <v>0</v>
      </c>
      <c r="X19" s="34" t="b">
        <f>OR(R19&gt;0,T19&gt;0,U19&gt;0)</f>
        <v>0</v>
      </c>
      <c r="Y19" s="34" t="b">
        <f>OR(S19&gt;0,T19&gt;0,U19&gt;0)</f>
        <v>0</v>
      </c>
      <c r="Z19" s="644" t="b">
        <f t="shared" si="19"/>
        <v>0</v>
      </c>
      <c r="AA19" s="34" t="b">
        <f t="shared" si="20"/>
        <v>0</v>
      </c>
      <c r="AB19" s="644" t="b">
        <f t="shared" si="21"/>
        <v>0</v>
      </c>
      <c r="AC19" s="644" t="b">
        <f t="shared" si="22"/>
        <v>0</v>
      </c>
      <c r="AD19" s="34" t="b">
        <f>IF(profiel_gekozen=lbl_uitvoerder,AA19,IF(profiel_gekozen=lbl_meedenker,AB19,IF(profiel_gekozen=lbl_adviseur,AC19,FALSE)))</f>
        <v>0</v>
      </c>
    </row>
    <row r="20" spans="1:30" s="68" customFormat="1" ht="15.75" thickBot="1">
      <c r="A20" s="93" t="s">
        <v>418</v>
      </c>
      <c r="B20" s="72"/>
      <c r="C20" s="73"/>
      <c r="D20" s="74"/>
      <c r="E20" s="54" t="s">
        <v>419</v>
      </c>
      <c r="F20" s="66"/>
      <c r="G20" s="56" t="s">
        <v>420</v>
      </c>
      <c r="H20" s="55"/>
      <c r="I20" s="56" t="s">
        <v>421</v>
      </c>
      <c r="J20" s="55"/>
      <c r="K20" s="56" t="s">
        <v>422</v>
      </c>
      <c r="L20" s="55"/>
      <c r="M20" s="56" t="s">
        <v>423</v>
      </c>
      <c r="N20" s="67"/>
      <c r="O20" s="34" t="str">
        <f>IF(W20,IF(AND($P$2,NOT(OR(X20,Y20))),matrix_voorwaarde_7,IF(AND($P$2,NOT(X20)),matrix_voorwaarde_2,IF(AND($P$2,NOT(Y20)),matrix_voorwaarde_1,""))),matrix_voorwaarde_3)</f>
        <v>Als deze regel van toepassing is, dan moet er iets geselecteerd worden voor Onderhoud, Renovatie en Transformatie.</v>
      </c>
      <c r="P20" s="34">
        <f t="shared" si="18"/>
        <v>0</v>
      </c>
      <c r="Q20" s="34">
        <f t="shared" si="18"/>
        <v>0</v>
      </c>
      <c r="R20" s="34">
        <f t="shared" si="18"/>
        <v>0</v>
      </c>
      <c r="S20" s="34">
        <f t="shared" si="18"/>
        <v>0</v>
      </c>
      <c r="T20" s="34">
        <f t="shared" si="18"/>
        <v>0</v>
      </c>
      <c r="U20" s="34">
        <f t="shared" si="18"/>
        <v>0</v>
      </c>
      <c r="V20" s="34">
        <f>S20+T20</f>
        <v>0</v>
      </c>
      <c r="W20" s="34" t="b">
        <f>(SUM(P20:U20)&gt;=$W$2)</f>
        <v>0</v>
      </c>
      <c r="X20" s="34" t="b">
        <f>OR(R20&gt;0,T20&gt;0,U20&gt;0)</f>
        <v>0</v>
      </c>
      <c r="Y20" s="34" t="b">
        <f>OR(S20&gt;0,T20&gt;0,U20&gt;0)</f>
        <v>0</v>
      </c>
      <c r="Z20" s="644" t="b">
        <f t="shared" si="19"/>
        <v>0</v>
      </c>
      <c r="AA20" s="34" t="b">
        <f t="shared" si="20"/>
        <v>0</v>
      </c>
      <c r="AB20" s="644" t="b">
        <f t="shared" si="21"/>
        <v>0</v>
      </c>
      <c r="AC20" s="644" t="b">
        <f t="shared" si="22"/>
        <v>0</v>
      </c>
      <c r="AD20" s="34" t="b">
        <f>IF(profiel_gekozen=lbl_uitvoerder,AA20,IF(profiel_gekozen=lbl_meedenker,AB20,IF(profiel_gekozen=lbl_adviseur,AC20,FALSE)))</f>
        <v>0</v>
      </c>
    </row>
    <row r="21" spans="1:30" ht="15.75" thickBot="1">
      <c r="A21" s="92" t="s">
        <v>424</v>
      </c>
      <c r="B21" s="564"/>
      <c r="C21" s="565"/>
      <c r="D21" s="546"/>
      <c r="E21" s="59"/>
      <c r="F21" s="59"/>
      <c r="G21" s="59"/>
      <c r="H21" s="59"/>
      <c r="I21" s="59"/>
      <c r="J21" s="59"/>
      <c r="K21" s="59"/>
      <c r="L21" s="59"/>
      <c r="M21" s="59"/>
      <c r="N21" s="61"/>
      <c r="O21" s="34" t="str">
        <f>IF(AD21,"",matrix_voorwaarde_4)</f>
        <v>Voor elke discipline moet minimaal 1 regel ingevuld worden en aan alle voorwaarden worden voldaan.</v>
      </c>
      <c r="P21" s="34">
        <f>SUM(P22:P26)</f>
        <v>0</v>
      </c>
      <c r="Q21" s="34">
        <f aca="true" t="shared" si="23" ref="Q21:V21">SUM(Q22:Q26)</f>
        <v>0</v>
      </c>
      <c r="R21" s="34">
        <f t="shared" si="23"/>
        <v>0</v>
      </c>
      <c r="S21" s="34">
        <f t="shared" si="23"/>
        <v>0</v>
      </c>
      <c r="T21" s="34">
        <f t="shared" si="23"/>
        <v>0</v>
      </c>
      <c r="U21" s="34">
        <f aca="true" t="shared" si="24" ref="U21">SUM(U22:U26)</f>
        <v>0</v>
      </c>
      <c r="V21" s="34">
        <f t="shared" si="23"/>
        <v>0</v>
      </c>
      <c r="Z21" s="644"/>
      <c r="AD21" s="31" t="b">
        <f>OR(AD22:AD26)</f>
        <v>0</v>
      </c>
    </row>
    <row r="22" spans="1:30" ht="15">
      <c r="A22" s="93" t="s">
        <v>425</v>
      </c>
      <c r="B22" s="72"/>
      <c r="C22" s="73"/>
      <c r="D22" s="74"/>
      <c r="E22" s="42"/>
      <c r="F22" s="62"/>
      <c r="G22" s="44"/>
      <c r="H22" s="43"/>
      <c r="I22" s="42"/>
      <c r="J22" s="62"/>
      <c r="K22" s="44"/>
      <c r="L22" s="43"/>
      <c r="M22" s="45"/>
      <c r="N22" s="46"/>
      <c r="O22" s="34" t="str">
        <f>IF(W22,IF(AND($P$2,NOT(OR(X22,Y22))),matrix_voorwaarde_7,IF(AND($P$2,NOT(X22)),matrix_voorwaarde_2,IF(AND($P$2,NOT(Y22)),matrix_voorwaarde_1,""))),matrix_voorwaarde_3)</f>
        <v>Als deze regel van toepassing is, dan moet er iets geselecteerd worden voor Onderhoud, Renovatie en Transformatie.</v>
      </c>
      <c r="P22" s="34">
        <f aca="true" t="shared" si="25" ref="P22:U26">SUMIF($B22:$D22,P$4,matrix_count)</f>
        <v>0</v>
      </c>
      <c r="Q22" s="34">
        <f t="shared" si="25"/>
        <v>0</v>
      </c>
      <c r="R22" s="34">
        <f t="shared" si="25"/>
        <v>0</v>
      </c>
      <c r="S22" s="34">
        <f t="shared" si="25"/>
        <v>0</v>
      </c>
      <c r="T22" s="34">
        <f t="shared" si="25"/>
        <v>0</v>
      </c>
      <c r="U22" s="34">
        <f t="shared" si="25"/>
        <v>0</v>
      </c>
      <c r="V22" s="34">
        <f>S22+T22</f>
        <v>0</v>
      </c>
      <c r="W22" s="34" t="b">
        <f>(SUM(P22:U22)&gt;=$W$2)</f>
        <v>0</v>
      </c>
      <c r="X22" s="34" t="b">
        <f>OR(R22&gt;0,T22&gt;0,U22&gt;0)</f>
        <v>0</v>
      </c>
      <c r="Y22" s="34" t="b">
        <f>OR(S22&gt;0,T22&gt;0,U22&gt;0)</f>
        <v>0</v>
      </c>
      <c r="Z22" s="644" t="b">
        <f aca="true" t="shared" si="26" ref="Z22:Z26">IF(T22&gt;=1,TRUE,IF(SUM($T$5:$T$26)&gt;0,U22=1,FALSE))</f>
        <v>0</v>
      </c>
      <c r="AA22" s="34" t="b">
        <f aca="true" t="shared" si="27" ref="AA22:AA26">W22</f>
        <v>0</v>
      </c>
      <c r="AB22" s="644" t="b">
        <f aca="true" t="shared" si="28" ref="AB22:AB26">AND(W22,X22,OR(Z22,T22))</f>
        <v>0</v>
      </c>
      <c r="AC22" s="644" t="b">
        <f aca="true" t="shared" si="29" ref="AC22:AC26">AND(W22,X22,Z22)</f>
        <v>0</v>
      </c>
      <c r="AD22" s="34" t="b">
        <f>IF(profiel_gekozen=lbl_uitvoerder,AA22,IF(profiel_gekozen=lbl_meedenker,AB22,IF(profiel_gekozen=lbl_adviseur,AC22,FALSE)))</f>
        <v>0</v>
      </c>
    </row>
    <row r="23" spans="1:30" ht="15">
      <c r="A23" s="93" t="s">
        <v>426</v>
      </c>
      <c r="B23" s="72"/>
      <c r="C23" s="73"/>
      <c r="D23" s="74"/>
      <c r="E23" s="49"/>
      <c r="F23" s="64"/>
      <c r="G23" s="51"/>
      <c r="H23" s="50"/>
      <c r="I23" s="49"/>
      <c r="J23" s="64"/>
      <c r="K23" s="51"/>
      <c r="L23" s="50"/>
      <c r="M23" s="52"/>
      <c r="N23" s="53"/>
      <c r="O23" s="34" t="str">
        <f>IF(W23,IF(AND($P$2,NOT(OR(X23,Y23))),matrix_voorwaarde_7,IF(AND($P$2,NOT(X23)),matrix_voorwaarde_2,IF(AND($P$2,NOT(Y23)),matrix_voorwaarde_1,""))),matrix_voorwaarde_3)</f>
        <v>Als deze regel van toepassing is, dan moet er iets geselecteerd worden voor Onderhoud, Renovatie en Transformatie.</v>
      </c>
      <c r="P23" s="34">
        <f t="shared" si="25"/>
        <v>0</v>
      </c>
      <c r="Q23" s="34">
        <f t="shared" si="25"/>
        <v>0</v>
      </c>
      <c r="R23" s="34">
        <f t="shared" si="25"/>
        <v>0</v>
      </c>
      <c r="S23" s="34">
        <f t="shared" si="25"/>
        <v>0</v>
      </c>
      <c r="T23" s="34">
        <f t="shared" si="25"/>
        <v>0</v>
      </c>
      <c r="U23" s="34">
        <f t="shared" si="25"/>
        <v>0</v>
      </c>
      <c r="V23" s="34">
        <f>S23+T23</f>
        <v>0</v>
      </c>
      <c r="W23" s="34" t="b">
        <f>(SUM(P23:U23)&gt;=$W$2)</f>
        <v>0</v>
      </c>
      <c r="X23" s="34" t="b">
        <f>OR(R23&gt;0,T23&gt;0,U23&gt;0)</f>
        <v>0</v>
      </c>
      <c r="Y23" s="34" t="b">
        <f>OR(S23&gt;0,T23&gt;0,U23&gt;0)</f>
        <v>0</v>
      </c>
      <c r="Z23" s="644" t="b">
        <f t="shared" si="26"/>
        <v>0</v>
      </c>
      <c r="AA23" s="34" t="b">
        <f t="shared" si="27"/>
        <v>0</v>
      </c>
      <c r="AB23" s="644" t="b">
        <f t="shared" si="28"/>
        <v>0</v>
      </c>
      <c r="AC23" s="644" t="b">
        <f t="shared" si="29"/>
        <v>0</v>
      </c>
      <c r="AD23" s="34" t="b">
        <f>IF(profiel_gekozen=lbl_uitvoerder,AA23,IF(profiel_gekozen=lbl_meedenker,AB23,IF(profiel_gekozen=lbl_adviseur,AC23,FALSE)))</f>
        <v>0</v>
      </c>
    </row>
    <row r="24" spans="1:30" ht="15">
      <c r="A24" s="93" t="s">
        <v>427</v>
      </c>
      <c r="B24" s="72"/>
      <c r="C24" s="73"/>
      <c r="D24" s="74"/>
      <c r="E24" s="49"/>
      <c r="F24" s="64"/>
      <c r="G24" s="51"/>
      <c r="H24" s="50"/>
      <c r="I24" s="49"/>
      <c r="J24" s="64"/>
      <c r="K24" s="51"/>
      <c r="L24" s="50"/>
      <c r="M24" s="52"/>
      <c r="N24" s="53"/>
      <c r="O24" s="34" t="str">
        <f>IF(W24,IF(AND($P$2,NOT(OR(X24,Y24))),matrix_voorwaarde_7,IF(AND($P$2,NOT(X24)),matrix_voorwaarde_2,IF(AND($P$2,NOT(Y24)),matrix_voorwaarde_1,""))),matrix_voorwaarde_3)</f>
        <v>Als deze regel van toepassing is, dan moet er iets geselecteerd worden voor Onderhoud, Renovatie en Transformatie.</v>
      </c>
      <c r="P24" s="34">
        <f t="shared" si="25"/>
        <v>0</v>
      </c>
      <c r="Q24" s="34">
        <f t="shared" si="25"/>
        <v>0</v>
      </c>
      <c r="R24" s="34">
        <f t="shared" si="25"/>
        <v>0</v>
      </c>
      <c r="S24" s="34">
        <f t="shared" si="25"/>
        <v>0</v>
      </c>
      <c r="T24" s="34">
        <f t="shared" si="25"/>
        <v>0</v>
      </c>
      <c r="U24" s="34">
        <f t="shared" si="25"/>
        <v>0</v>
      </c>
      <c r="V24" s="34">
        <f>S24+T24</f>
        <v>0</v>
      </c>
      <c r="W24" s="34" t="b">
        <f>(SUM(P24:U24)&gt;=$W$2)</f>
        <v>0</v>
      </c>
      <c r="X24" s="34" t="b">
        <f>OR(R24&gt;0,T24&gt;0,U24&gt;0)</f>
        <v>0</v>
      </c>
      <c r="Y24" s="34" t="b">
        <f>OR(S24&gt;0,T24&gt;0,U24&gt;0)</f>
        <v>0</v>
      </c>
      <c r="Z24" s="644" t="b">
        <f t="shared" si="26"/>
        <v>0</v>
      </c>
      <c r="AA24" s="34" t="b">
        <f t="shared" si="27"/>
        <v>0</v>
      </c>
      <c r="AB24" s="644" t="b">
        <f t="shared" si="28"/>
        <v>0</v>
      </c>
      <c r="AC24" s="644" t="b">
        <f t="shared" si="29"/>
        <v>0</v>
      </c>
      <c r="AD24" s="34" t="b">
        <f>IF(profiel_gekozen=lbl_uitvoerder,AA24,IF(profiel_gekozen=lbl_meedenker,AB24,IF(profiel_gekozen=lbl_adviseur,AC24,FALSE)))</f>
        <v>0</v>
      </c>
    </row>
    <row r="25" spans="1:30" ht="15">
      <c r="A25" s="93" t="s">
        <v>428</v>
      </c>
      <c r="B25" s="72"/>
      <c r="C25" s="73"/>
      <c r="D25" s="74"/>
      <c r="E25" s="49"/>
      <c r="F25" s="64"/>
      <c r="G25" s="51"/>
      <c r="H25" s="50"/>
      <c r="I25" s="49"/>
      <c r="J25" s="64"/>
      <c r="K25" s="51"/>
      <c r="L25" s="50"/>
      <c r="M25" s="52"/>
      <c r="N25" s="53"/>
      <c r="O25" s="34" t="str">
        <f>IF(W25,IF(AND($P$2,NOT(OR(X25,Y25))),matrix_voorwaarde_7,IF(AND($P$2,NOT(X25)),matrix_voorwaarde_2,IF(AND($P$2,NOT(Y25)),matrix_voorwaarde_1,""))),matrix_voorwaarde_3)</f>
        <v>Als deze regel van toepassing is, dan moet er iets geselecteerd worden voor Onderhoud, Renovatie en Transformatie.</v>
      </c>
      <c r="P25" s="34">
        <f t="shared" si="25"/>
        <v>0</v>
      </c>
      <c r="Q25" s="34">
        <f t="shared" si="25"/>
        <v>0</v>
      </c>
      <c r="R25" s="34">
        <f t="shared" si="25"/>
        <v>0</v>
      </c>
      <c r="S25" s="34">
        <f t="shared" si="25"/>
        <v>0</v>
      </c>
      <c r="T25" s="34">
        <f t="shared" si="25"/>
        <v>0</v>
      </c>
      <c r="U25" s="34">
        <f t="shared" si="25"/>
        <v>0</v>
      </c>
      <c r="V25" s="34">
        <f>S25+T25</f>
        <v>0</v>
      </c>
      <c r="W25" s="34" t="b">
        <f>(SUM(P25:U25)&gt;=$W$2)</f>
        <v>0</v>
      </c>
      <c r="X25" s="34" t="b">
        <f>OR(R25&gt;0,T25&gt;0,U25&gt;0)</f>
        <v>0</v>
      </c>
      <c r="Y25" s="34" t="b">
        <f>OR(S25&gt;0,T25&gt;0,U25&gt;0)</f>
        <v>0</v>
      </c>
      <c r="Z25" s="644" t="b">
        <f t="shared" si="26"/>
        <v>0</v>
      </c>
      <c r="AA25" s="34" t="b">
        <f t="shared" si="27"/>
        <v>0</v>
      </c>
      <c r="AB25" s="644" t="b">
        <f t="shared" si="28"/>
        <v>0</v>
      </c>
      <c r="AC25" s="644" t="b">
        <f t="shared" si="29"/>
        <v>0</v>
      </c>
      <c r="AD25" s="34" t="b">
        <f>IF(profiel_gekozen=lbl_uitvoerder,AA25,IF(profiel_gekozen=lbl_meedenker,AB25,IF(profiel_gekozen=lbl_adviseur,AC25,FALSE)))</f>
        <v>0</v>
      </c>
    </row>
    <row r="26" spans="1:30" ht="15.75" thickBot="1">
      <c r="A26" s="94" t="s">
        <v>429</v>
      </c>
      <c r="B26" s="554"/>
      <c r="C26" s="555"/>
      <c r="D26" s="556"/>
      <c r="E26" s="54"/>
      <c r="F26" s="66"/>
      <c r="G26" s="56"/>
      <c r="H26" s="55"/>
      <c r="I26" s="54"/>
      <c r="J26" s="66"/>
      <c r="K26" s="56"/>
      <c r="L26" s="55"/>
      <c r="M26" s="69"/>
      <c r="N26" s="58"/>
      <c r="O26" s="34" t="str">
        <f>IF(W26,IF(AND($P$2,NOT(OR(X26,Y26))),matrix_voorwaarde_7,IF(AND($P$2,NOT(X26)),matrix_voorwaarde_2,IF(AND($P$2,NOT(Y26)),matrix_voorwaarde_1,""))),matrix_voorwaarde_3)</f>
        <v>Als deze regel van toepassing is, dan moet er iets geselecteerd worden voor Onderhoud, Renovatie en Transformatie.</v>
      </c>
      <c r="P26" s="34">
        <f t="shared" si="25"/>
        <v>0</v>
      </c>
      <c r="Q26" s="34">
        <f t="shared" si="25"/>
        <v>0</v>
      </c>
      <c r="R26" s="34">
        <f t="shared" si="25"/>
        <v>0</v>
      </c>
      <c r="S26" s="34">
        <f t="shared" si="25"/>
        <v>0</v>
      </c>
      <c r="T26" s="34">
        <f t="shared" si="25"/>
        <v>0</v>
      </c>
      <c r="U26" s="34">
        <f t="shared" si="25"/>
        <v>0</v>
      </c>
      <c r="V26" s="34">
        <f>S26+T26</f>
        <v>0</v>
      </c>
      <c r="W26" s="34" t="b">
        <f>(SUM(P26:U26)&gt;=$W$2)</f>
        <v>0</v>
      </c>
      <c r="X26" s="34" t="b">
        <f>OR(R26&gt;0,T26&gt;0,U26&gt;0)</f>
        <v>0</v>
      </c>
      <c r="Y26" s="34" t="b">
        <f>OR(S26&gt;0,T26&gt;0,U26&gt;0)</f>
        <v>0</v>
      </c>
      <c r="Z26" s="644" t="b">
        <f t="shared" si="26"/>
        <v>0</v>
      </c>
      <c r="AA26" s="34" t="b">
        <f t="shared" si="27"/>
        <v>0</v>
      </c>
      <c r="AB26" s="644" t="b">
        <f t="shared" si="28"/>
        <v>0</v>
      </c>
      <c r="AC26" s="644" t="b">
        <f t="shared" si="29"/>
        <v>0</v>
      </c>
      <c r="AD26" s="34" t="b">
        <f>IF(profiel_gekozen=lbl_uitvoerder,AA26,IF(profiel_gekozen=lbl_meedenker,AB26,IF(profiel_gekozen=lbl_adviseur,AC26,FALSE)))</f>
        <v>0</v>
      </c>
    </row>
    <row r="27" spans="1:30" ht="15.75" thickBot="1">
      <c r="A27" s="94"/>
      <c r="B27" s="561"/>
      <c r="C27" s="562"/>
      <c r="D27" s="563"/>
      <c r="E27" s="551"/>
      <c r="F27" s="551"/>
      <c r="G27" s="551"/>
      <c r="H27" s="551"/>
      <c r="I27" s="551"/>
      <c r="J27" s="551"/>
      <c r="K27" s="551"/>
      <c r="L27" s="551"/>
      <c r="M27" s="552"/>
      <c r="N27" s="553"/>
      <c r="O27" s="34"/>
      <c r="P27" s="34"/>
      <c r="Q27" s="34"/>
      <c r="R27" s="34"/>
      <c r="S27" s="34"/>
      <c r="T27" s="34"/>
      <c r="U27" s="34"/>
      <c r="V27" s="34"/>
      <c r="W27" s="34"/>
      <c r="X27" s="34"/>
      <c r="Y27" s="34"/>
      <c r="Z27" s="644"/>
      <c r="AA27" s="34"/>
      <c r="AB27" s="34"/>
      <c r="AC27" s="34"/>
      <c r="AD27" s="34"/>
    </row>
    <row r="28" spans="1:30" s="34" customFormat="1" ht="15.75" thickBot="1">
      <c r="A28" s="92" t="s">
        <v>572</v>
      </c>
      <c r="B28" s="566"/>
      <c r="C28" s="567"/>
      <c r="D28" s="568"/>
      <c r="E28" s="40"/>
      <c r="F28" s="40"/>
      <c r="G28" s="40"/>
      <c r="H28" s="40"/>
      <c r="I28" s="40"/>
      <c r="J28" s="40"/>
      <c r="K28" s="40"/>
      <c r="L28" s="40"/>
      <c r="M28" s="40"/>
      <c r="N28" s="41"/>
      <c r="P28" s="34">
        <f aca="true" t="shared" si="30" ref="P28:V28">SUM(P29)</f>
        <v>0</v>
      </c>
      <c r="Q28" s="34">
        <f t="shared" si="30"/>
        <v>0</v>
      </c>
      <c r="R28" s="34">
        <f t="shared" si="30"/>
        <v>0</v>
      </c>
      <c r="S28" s="34">
        <f t="shared" si="30"/>
        <v>0</v>
      </c>
      <c r="T28" s="34">
        <f t="shared" si="30"/>
        <v>0</v>
      </c>
      <c r="U28" s="34">
        <f t="shared" si="30"/>
        <v>0</v>
      </c>
      <c r="V28" s="34">
        <f t="shared" si="30"/>
        <v>0</v>
      </c>
      <c r="Z28" s="644"/>
      <c r="AD28" s="34" t="b">
        <f>OR(AD29)</f>
        <v>0</v>
      </c>
    </row>
    <row r="29" spans="1:30" s="34" customFormat="1" ht="15.75" thickBot="1">
      <c r="A29" s="557" t="s">
        <v>375</v>
      </c>
      <c r="B29" s="558"/>
      <c r="C29" s="559"/>
      <c r="D29" s="560"/>
      <c r="E29" s="42"/>
      <c r="F29" s="43"/>
      <c r="G29" s="44"/>
      <c r="H29" s="43"/>
      <c r="I29" s="44"/>
      <c r="J29" s="43"/>
      <c r="K29" s="44"/>
      <c r="L29" s="43"/>
      <c r="M29" s="45"/>
      <c r="N29" s="46"/>
      <c r="P29" s="34">
        <f aca="true" t="shared" si="31" ref="P29:U29">SUMIF($B29:$D29,P$4,matrix_count)</f>
        <v>0</v>
      </c>
      <c r="Q29" s="34">
        <f t="shared" si="31"/>
        <v>0</v>
      </c>
      <c r="R29" s="34">
        <f t="shared" si="31"/>
        <v>0</v>
      </c>
      <c r="S29" s="34">
        <f t="shared" si="31"/>
        <v>0</v>
      </c>
      <c r="T29" s="34">
        <f t="shared" si="31"/>
        <v>0</v>
      </c>
      <c r="U29" s="34">
        <f t="shared" si="31"/>
        <v>0</v>
      </c>
      <c r="V29" s="34">
        <f>S29+T29</f>
        <v>0</v>
      </c>
      <c r="W29" s="34" t="b">
        <f>(SUM(P29:U29)&gt;=$W$2)</f>
        <v>0</v>
      </c>
      <c r="X29" s="34" t="b">
        <f>OR(R29&gt;0,T29&gt;0,U29&gt;0)</f>
        <v>0</v>
      </c>
      <c r="Y29" s="34" t="b">
        <f>OR(S29&gt;0,T29&gt;0,U29&gt;0)</f>
        <v>0</v>
      </c>
      <c r="Z29" s="644" t="b">
        <f aca="true" t="shared" si="32" ref="Z29">IF(T29=1,TRUE,IF(SUM($T$5:$T$26)&gt;0,U29=1,FALSE))</f>
        <v>0</v>
      </c>
      <c r="AA29" s="34" t="b">
        <f aca="true" t="shared" si="33" ref="AA29">W29</f>
        <v>0</v>
      </c>
      <c r="AB29" s="644" t="b">
        <f>AND(W29,X29,OR(Z29,T29))</f>
        <v>0</v>
      </c>
      <c r="AC29" s="644" t="b">
        <f>AND(W29,X29,Z29)</f>
        <v>0</v>
      </c>
      <c r="AD29" s="34" t="b">
        <f>IF(profiel_gekozen=lbl_uitvoerder,AA29,IF(profiel_gekozen=lbl_meedenker,AB29,IF(profiel_gekozen=lbl_adviseur,AC29,FALSE)))</f>
        <v>0</v>
      </c>
    </row>
    <row r="31" spans="1:4" ht="15">
      <c r="A31" s="669" t="str">
        <f>matrix_nvt_lang</f>
        <v>NVT = Niet Van Toepassing</v>
      </c>
      <c r="B31" s="669"/>
      <c r="C31" s="71" t="s">
        <v>371</v>
      </c>
      <c r="D31" s="636" t="s">
        <v>430</v>
      </c>
    </row>
    <row r="32" spans="1:4" ht="15">
      <c r="A32" s="669" t="str">
        <f>matrix_e_lang</f>
        <v>E = extern belegd</v>
      </c>
      <c r="B32" s="669"/>
      <c r="C32" s="71" t="s">
        <v>372</v>
      </c>
      <c r="D32" s="70" t="s">
        <v>431</v>
      </c>
    </row>
    <row r="33" spans="1:4" ht="15">
      <c r="A33" s="669" t="str">
        <f>matrix_u_lang</f>
        <v>U = uitvoerend personeel</v>
      </c>
      <c r="B33" s="669"/>
      <c r="C33" s="71" t="s">
        <v>373</v>
      </c>
      <c r="D33" s="636" t="s">
        <v>432</v>
      </c>
    </row>
    <row r="34" spans="1:4" ht="15">
      <c r="A34" s="669" t="str">
        <f>matrix_p_lang</f>
        <v>P = planontwikkeling</v>
      </c>
      <c r="B34" s="669"/>
      <c r="C34" s="636"/>
      <c r="D34" s="636"/>
    </row>
    <row r="35" spans="1:2" ht="15">
      <c r="A35" s="636" t="str">
        <f>matrix_pu_lang</f>
        <v>PU = planontwikkeling en uitvoerend personeel</v>
      </c>
      <c r="B35" s="636"/>
    </row>
    <row r="36" spans="1:2" ht="15">
      <c r="A36" s="636" t="str">
        <f>matrix_pe_lang</f>
        <v>PE = planontwikkeling intern en uitvoering extern belegd</v>
      </c>
      <c r="B36" s="636"/>
    </row>
    <row r="38" spans="1:4" ht="60.75" customHeight="1">
      <c r="A38" s="667" t="s">
        <v>573</v>
      </c>
      <c r="B38" s="668"/>
      <c r="C38" s="668"/>
      <c r="D38" s="668"/>
    </row>
    <row r="40" spans="1:4" ht="15" customHeight="1">
      <c r="A40" s="667"/>
      <c r="B40" s="668"/>
      <c r="C40" s="668"/>
      <c r="D40" s="668"/>
    </row>
  </sheetData>
  <sheetProtection sheet="1" objects="1" scenarios="1" selectLockedCells="1"/>
  <mergeCells count="7">
    <mergeCell ref="B2:D2"/>
    <mergeCell ref="A40:D40"/>
    <mergeCell ref="A31:B31"/>
    <mergeCell ref="A32:B32"/>
    <mergeCell ref="A33:B33"/>
    <mergeCell ref="A34:B34"/>
    <mergeCell ref="A38:D38"/>
  </mergeCells>
  <conditionalFormatting sqref="A5">
    <cfRule type="expression" priority="1" dxfId="5" stopIfTrue="1">
      <formula>NOT(AD5)</formula>
    </cfRule>
    <cfRule type="expression" priority="2" dxfId="4" stopIfTrue="1">
      <formula>AD5</formula>
    </cfRule>
  </conditionalFormatting>
  <conditionalFormatting sqref="A10">
    <cfRule type="expression" priority="3" dxfId="5" stopIfTrue="1">
      <formula>NOT(AD10)</formula>
    </cfRule>
    <cfRule type="expression" priority="4" dxfId="4" stopIfTrue="1">
      <formula>AD10</formula>
    </cfRule>
  </conditionalFormatting>
  <conditionalFormatting sqref="A16">
    <cfRule type="expression" priority="5" dxfId="5" stopIfTrue="1">
      <formula>NOT(AD16)</formula>
    </cfRule>
    <cfRule type="expression" priority="6" dxfId="4" stopIfTrue="1">
      <formula>AD16</formula>
    </cfRule>
  </conditionalFormatting>
  <conditionalFormatting sqref="A21">
    <cfRule type="expression" priority="7" dxfId="5" stopIfTrue="1">
      <formula>NOT(AD21)</formula>
    </cfRule>
    <cfRule type="expression" priority="8" dxfId="4" stopIfTrue="1">
      <formula>AD21</formula>
    </cfRule>
  </conditionalFormatting>
  <conditionalFormatting sqref="A6">
    <cfRule type="expression" priority="9" dxfId="5" stopIfTrue="1">
      <formula>OR(NOT(W6),AND($P$2,NOT(X6)),AND($P$2,NOT(Y6)),AND($P$2,NOT(Z6)))</formula>
    </cfRule>
    <cfRule type="expression" priority="10" dxfId="4" stopIfTrue="1">
      <formula>AND(IF($P$2,AD6,TRUE),W6)</formula>
    </cfRule>
  </conditionalFormatting>
  <conditionalFormatting sqref="A7">
    <cfRule type="expression" priority="11" dxfId="5" stopIfTrue="1">
      <formula>OR(NOT(W7),AND($P$2,NOT(X7)),AND($P$2,NOT(Y7)),AND($P$2,NOT(Z7)))</formula>
    </cfRule>
    <cfRule type="expression" priority="12" dxfId="4" stopIfTrue="1">
      <formula>AND(IF($P$2,AD7,TRUE),W7)</formula>
    </cfRule>
  </conditionalFormatting>
  <conditionalFormatting sqref="A8">
    <cfRule type="expression" priority="13" dxfId="5" stopIfTrue="1">
      <formula>OR(NOT(W8),AND($P$2,NOT(X8)),AND($P$2,NOT(Y8)),AND($P$2,NOT(Z8)))</formula>
    </cfRule>
    <cfRule type="expression" priority="14" dxfId="4" stopIfTrue="1">
      <formula>AND(IF($P$2,AD8,TRUE),W8)</formula>
    </cfRule>
  </conditionalFormatting>
  <conditionalFormatting sqref="A9">
    <cfRule type="expression" priority="15" dxfId="5" stopIfTrue="1">
      <formula>OR(NOT(W9),AND($P$2,NOT(X9)),AND($P$2,NOT(Y9)),AND($P$2,NOT(Z9)))</formula>
    </cfRule>
    <cfRule type="expression" priority="16" dxfId="4" stopIfTrue="1">
      <formula>AND(IF($P$2,AD9,TRUE),W9)</formula>
    </cfRule>
  </conditionalFormatting>
  <conditionalFormatting sqref="A11">
    <cfRule type="expression" priority="17" dxfId="5" stopIfTrue="1">
      <formula>OR(NOT(W11),AND($P$2,NOT(X11)),AND($P$2,NOT(Y11)),AND($P$2,NOT(Z11)))</formula>
    </cfRule>
    <cfRule type="expression" priority="18" dxfId="4" stopIfTrue="1">
      <formula>AND(IF($P$2,AD11,TRUE),W11)</formula>
    </cfRule>
  </conditionalFormatting>
  <conditionalFormatting sqref="A12">
    <cfRule type="expression" priority="19" dxfId="5" stopIfTrue="1">
      <formula>OR(NOT(W12),AND($P$2,NOT(X12)),AND($P$2,NOT(Y12)),AND($P$2,NOT(Z12)))</formula>
    </cfRule>
    <cfRule type="expression" priority="20" dxfId="4" stopIfTrue="1">
      <formula>AND(IF($P$2,AD12,TRUE),W12)</formula>
    </cfRule>
  </conditionalFormatting>
  <conditionalFormatting sqref="A13">
    <cfRule type="expression" priority="21" dxfId="5" stopIfTrue="1">
      <formula>OR(NOT(W13),AND($P$2,NOT(X13)),AND($P$2,NOT(Y13)),AND($P$2,NOT(Z13)))</formula>
    </cfRule>
    <cfRule type="expression" priority="22" dxfId="4" stopIfTrue="1">
      <formula>AND(IF($P$2,AD13,TRUE),W13)</formula>
    </cfRule>
  </conditionalFormatting>
  <conditionalFormatting sqref="A14">
    <cfRule type="expression" priority="23" dxfId="5" stopIfTrue="1">
      <formula>OR(NOT(W14),AND($P$2,NOT(X14)),AND($P$2,NOT(Y14)),AND($P$2,NOT(Z14)))</formula>
    </cfRule>
    <cfRule type="expression" priority="24" dxfId="4" stopIfTrue="1">
      <formula>AND(IF($P$2,AD14,TRUE),W14)</formula>
    </cfRule>
  </conditionalFormatting>
  <conditionalFormatting sqref="A15">
    <cfRule type="expression" priority="25" dxfId="5" stopIfTrue="1">
      <formula>OR(NOT(W15),AND($P$2,NOT(X15)),AND($P$2,NOT(Y15)),AND($P$2,NOT(Z15)))</formula>
    </cfRule>
    <cfRule type="expression" priority="26" dxfId="4" stopIfTrue="1">
      <formula>AND(IF($P$2,AD15,TRUE),W15)</formula>
    </cfRule>
  </conditionalFormatting>
  <conditionalFormatting sqref="A17">
    <cfRule type="expression" priority="27" dxfId="5" stopIfTrue="1">
      <formula>OR(NOT(W17),AND($P$2,NOT(X17)),AND($P$2,NOT(Y17)),AND($P$2,NOT(Z17)))</formula>
    </cfRule>
    <cfRule type="expression" priority="28" dxfId="4" stopIfTrue="1">
      <formula>AND(IF($P$2,AD17,TRUE),W17)</formula>
    </cfRule>
  </conditionalFormatting>
  <conditionalFormatting sqref="A18">
    <cfRule type="expression" priority="29" dxfId="5" stopIfTrue="1">
      <formula>OR(NOT(W18),AND($P$2,NOT(X18)),AND($P$2,NOT(Y18)),AND($P$2,NOT(Z18)))</formula>
    </cfRule>
    <cfRule type="expression" priority="30" dxfId="4" stopIfTrue="1">
      <formula>AND(IF($P$2,AD18,TRUE),W18)</formula>
    </cfRule>
  </conditionalFormatting>
  <conditionalFormatting sqref="A19">
    <cfRule type="expression" priority="31" dxfId="5" stopIfTrue="1">
      <formula>OR(NOT(W19),AND($P$2,NOT(X19)),AND($P$2,NOT(Y19)),AND($P$2,NOT(Z19)))</formula>
    </cfRule>
    <cfRule type="expression" priority="32" dxfId="4" stopIfTrue="1">
      <formula>AND(IF($P$2,AD19,TRUE),W19)</formula>
    </cfRule>
  </conditionalFormatting>
  <conditionalFormatting sqref="A20">
    <cfRule type="expression" priority="33" dxfId="5" stopIfTrue="1">
      <formula>OR(NOT(W20),AND($P$2,NOT(X20)),AND($P$2,NOT(Y20)),AND($P$2,NOT(Z20)))</formula>
    </cfRule>
    <cfRule type="expression" priority="34" dxfId="4" stopIfTrue="1">
      <formula>AND(IF($P$2,AD20,TRUE),W20)</formula>
    </cfRule>
  </conditionalFormatting>
  <conditionalFormatting sqref="A22">
    <cfRule type="expression" priority="35" dxfId="5" stopIfTrue="1">
      <formula>OR(NOT(W22),AND($P$2,NOT(X22)),AND($P$2,NOT(Y22)),AND($P$2,NOT(Z22)))</formula>
    </cfRule>
    <cfRule type="expression" priority="36" dxfId="4" stopIfTrue="1">
      <formula>AND(IF($P$2,AD22,TRUE),W22)</formula>
    </cfRule>
  </conditionalFormatting>
  <conditionalFormatting sqref="A23">
    <cfRule type="expression" priority="37" dxfId="5" stopIfTrue="1">
      <formula>OR(NOT(W23),AND($P$2,NOT(X23)),AND($P$2,NOT(Y23)),AND($P$2,NOT(Z23)))</formula>
    </cfRule>
    <cfRule type="expression" priority="38" dxfId="4" stopIfTrue="1">
      <formula>AND(IF($P$2,AD23,TRUE),W23)</formula>
    </cfRule>
  </conditionalFormatting>
  <conditionalFormatting sqref="A24">
    <cfRule type="expression" priority="39" dxfId="5" stopIfTrue="1">
      <formula>OR(NOT(W24),AND($P$2,NOT(X24)),AND($P$2,NOT(Y24)),AND($P$2,NOT(Z24)))</formula>
    </cfRule>
    <cfRule type="expression" priority="40" dxfId="4" stopIfTrue="1">
      <formula>AND(IF($P$2,AD24,TRUE),W24)</formula>
    </cfRule>
  </conditionalFormatting>
  <conditionalFormatting sqref="A25">
    <cfRule type="expression" priority="41" dxfId="5" stopIfTrue="1">
      <formula>OR(NOT(W25),AND($P$2,NOT(X25)),AND($P$2,NOT(Y25)),AND($P$2,NOT(Z25)))</formula>
    </cfRule>
  </conditionalFormatting>
  <conditionalFormatting sqref="A25">
    <cfRule type="expression" priority="42" dxfId="4" stopIfTrue="1">
      <formula>AND(IF($P$2,AD25,TRUE),W25)</formula>
    </cfRule>
  </conditionalFormatting>
  <conditionalFormatting sqref="A26">
    <cfRule type="expression" priority="43" dxfId="5" stopIfTrue="1">
      <formula>OR(NOT(W26),AND($P$2,NOT(X26)),AND($P$2,NOT(Y26)),AND($P$2,NOT(Z26)))</formula>
    </cfRule>
  </conditionalFormatting>
  <conditionalFormatting sqref="A26">
    <cfRule type="expression" priority="44" dxfId="4" stopIfTrue="1">
      <formula>AND(IF($P$2,AD26,TRUE),W26)</formula>
    </cfRule>
  </conditionalFormatting>
  <dataValidations count="1">
    <dataValidation type="list" allowBlank="1" showInputMessage="1" showErrorMessage="1" sqref="B29:D29 B6:D9 B11:D15 B17:D20 B22:D26">
      <formula1>matrix_opties</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70" r:id="rId1"/>
  <headerFooter>
    <oddHeader>&amp;LDisciplinematrix&amp;Rversie 2.6</oddHeader>
    <oddFooter>&amp;R30 november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O70"/>
  <sheetViews>
    <sheetView showGridLines="0" zoomScale="85" zoomScaleNormal="85" zoomScaleSheetLayoutView="70" workbookViewId="0" topLeftCell="A1">
      <pane ySplit="5" topLeftCell="A33" activePane="bottomLeft" state="frozen"/>
      <selection pane="topLeft" activeCell="D17" sqref="D17"/>
      <selection pane="bottomLeft" activeCell="L6" sqref="L6:L56"/>
    </sheetView>
  </sheetViews>
  <sheetFormatPr defaultColWidth="8.7109375" defaultRowHeight="15"/>
  <cols>
    <col min="1" max="1" width="8.8515625" style="312" customWidth="1"/>
    <col min="2" max="2" width="34.00390625" style="312" customWidth="1"/>
    <col min="3" max="3" width="5.8515625" style="313" customWidth="1"/>
    <col min="4" max="4" width="58.8515625" style="313" customWidth="1"/>
    <col min="5" max="5" width="4.00390625" style="312" customWidth="1"/>
    <col min="6" max="6" width="53.28125" style="312" customWidth="1"/>
    <col min="7" max="7" width="17.8515625" style="312" customWidth="1"/>
    <col min="8" max="8" width="3.28125" style="312" hidden="1" customWidth="1"/>
    <col min="9" max="9" width="3.8515625" style="312" customWidth="1"/>
    <col min="10" max="10" width="3.28125" style="312" hidden="1" customWidth="1"/>
    <col min="11" max="11" width="5.00390625" style="314" bestFit="1" customWidth="1"/>
    <col min="12" max="12" width="5.7109375" style="312" bestFit="1" customWidth="1"/>
    <col min="13" max="15" width="5.28125" style="312" hidden="1" customWidth="1"/>
    <col min="16" max="17" width="8.7109375" style="312" hidden="1" customWidth="1"/>
    <col min="18" max="19" width="6.7109375" style="312" hidden="1" customWidth="1"/>
    <col min="20" max="20" width="6.7109375" style="315" hidden="1" customWidth="1"/>
    <col min="21" max="21" width="6.7109375" style="312" hidden="1" customWidth="1"/>
    <col min="22" max="23" width="11.7109375" style="312" hidden="1" customWidth="1"/>
    <col min="24" max="25" width="6.7109375" style="312" hidden="1" customWidth="1"/>
    <col min="26" max="26" width="80.7109375" style="316" customWidth="1"/>
    <col min="27" max="40" width="8.7109375" style="316" hidden="1" customWidth="1"/>
    <col min="41" max="93" width="8.7109375" style="312" hidden="1" customWidth="1"/>
    <col min="94" max="16384" width="8.7109375" style="312" customWidth="1"/>
  </cols>
  <sheetData>
    <row r="1" spans="1:6" ht="34.5" thickBot="1">
      <c r="A1" s="311" t="s">
        <v>202</v>
      </c>
      <c r="F1" s="605" t="str">
        <f>profiel_gekozen</f>
        <v>Meedenker</v>
      </c>
    </row>
    <row r="2" spans="1:27" ht="25.9" customHeight="1" thickBot="1">
      <c r="A2" s="317" t="s">
        <v>203</v>
      </c>
      <c r="B2" s="318"/>
      <c r="C2" s="319" t="s">
        <v>204</v>
      </c>
      <c r="D2" s="320"/>
      <c r="E2" s="321" t="s">
        <v>205</v>
      </c>
      <c r="F2" s="322"/>
      <c r="G2" s="322"/>
      <c r="H2" s="322"/>
      <c r="I2" s="322"/>
      <c r="J2" s="322"/>
      <c r="K2" s="637"/>
      <c r="L2" s="323"/>
      <c r="M2" s="322"/>
      <c r="N2" s="322"/>
      <c r="O2" s="322"/>
      <c r="P2" s="322"/>
      <c r="Q2" s="323"/>
      <c r="R2" s="670" t="s">
        <v>206</v>
      </c>
      <c r="S2" s="671"/>
      <c r="T2" s="671"/>
      <c r="U2" s="671"/>
      <c r="V2" s="671"/>
      <c r="W2" s="671"/>
      <c r="X2" s="671"/>
      <c r="Y2" s="672"/>
      <c r="Z2" s="324"/>
      <c r="AA2" s="324"/>
    </row>
    <row r="3" spans="1:25" ht="15">
      <c r="A3" s="325"/>
      <c r="B3" s="326" t="s">
        <v>207</v>
      </c>
      <c r="C3" s="327"/>
      <c r="D3" s="328" t="s">
        <v>208</v>
      </c>
      <c r="E3" s="329"/>
      <c r="F3" s="330"/>
      <c r="G3" s="330"/>
      <c r="H3" s="330"/>
      <c r="I3" s="330"/>
      <c r="J3" s="330"/>
      <c r="K3" s="331"/>
      <c r="L3" s="333"/>
      <c r="M3" s="330"/>
      <c r="N3" s="330"/>
      <c r="O3" s="330"/>
      <c r="P3" s="330"/>
      <c r="Q3" s="330"/>
      <c r="R3" s="330"/>
      <c r="S3" s="330"/>
      <c r="T3" s="332"/>
      <c r="U3" s="330"/>
      <c r="V3" s="330"/>
      <c r="W3" s="330"/>
      <c r="X3" s="330"/>
      <c r="Y3" s="333"/>
    </row>
    <row r="4" spans="1:92" ht="15.75" thickBot="1">
      <c r="A4" s="334"/>
      <c r="B4" s="335"/>
      <c r="C4" s="336"/>
      <c r="D4" s="337"/>
      <c r="E4" s="338"/>
      <c r="F4" s="339"/>
      <c r="G4" s="339"/>
      <c r="H4" s="339"/>
      <c r="I4" s="339"/>
      <c r="J4" s="339"/>
      <c r="K4" s="340"/>
      <c r="L4" s="342"/>
      <c r="M4" s="339"/>
      <c r="N4" s="339"/>
      <c r="O4" s="339"/>
      <c r="P4" s="339"/>
      <c r="Q4" s="339"/>
      <c r="R4" s="339"/>
      <c r="S4" s="339"/>
      <c r="T4" s="341"/>
      <c r="U4" s="339"/>
      <c r="V4" s="339"/>
      <c r="W4" s="339"/>
      <c r="X4" s="339"/>
      <c r="Y4" s="342"/>
      <c r="AF4" s="312" t="str">
        <f>profiel_gekozen</f>
        <v>Meedenker</v>
      </c>
      <c r="AG4" s="316" t="s">
        <v>435</v>
      </c>
      <c r="BE4" s="312" t="s">
        <v>502</v>
      </c>
      <c r="BH4" s="312" t="s">
        <v>508</v>
      </c>
      <c r="BM4" s="312" t="s">
        <v>521</v>
      </c>
      <c r="BP4" s="312" t="s">
        <v>532</v>
      </c>
      <c r="CC4" s="312" t="s">
        <v>552</v>
      </c>
      <c r="CF4" s="312" t="s">
        <v>560</v>
      </c>
      <c r="CN4" s="312" t="s">
        <v>642</v>
      </c>
    </row>
    <row r="5" spans="1:93" ht="15.75" thickBot="1">
      <c r="A5" s="343"/>
      <c r="B5" s="344" t="s">
        <v>646</v>
      </c>
      <c r="C5" s="345"/>
      <c r="D5" s="346"/>
      <c r="E5" s="347"/>
      <c r="F5" s="348"/>
      <c r="G5" s="349" t="s">
        <v>45</v>
      </c>
      <c r="H5" s="350" t="s">
        <v>209</v>
      </c>
      <c r="I5" s="351"/>
      <c r="J5" s="352" t="s">
        <v>211</v>
      </c>
      <c r="K5" s="353" t="s">
        <v>212</v>
      </c>
      <c r="L5" s="354" t="s">
        <v>211</v>
      </c>
      <c r="M5" s="354">
        <v>2</v>
      </c>
      <c r="N5" s="354">
        <v>3</v>
      </c>
      <c r="O5" s="355">
        <v>4</v>
      </c>
      <c r="P5" s="356" t="s">
        <v>213</v>
      </c>
      <c r="Q5" s="357" t="s">
        <v>214</v>
      </c>
      <c r="R5" s="353" t="s">
        <v>215</v>
      </c>
      <c r="S5" s="358" t="s">
        <v>216</v>
      </c>
      <c r="T5" s="353" t="s">
        <v>215</v>
      </c>
      <c r="U5" s="358" t="s">
        <v>216</v>
      </c>
      <c r="V5" s="359" t="s">
        <v>213</v>
      </c>
      <c r="W5" s="359" t="s">
        <v>214</v>
      </c>
      <c r="X5" s="353" t="s">
        <v>215</v>
      </c>
      <c r="Y5" s="358" t="s">
        <v>216</v>
      </c>
      <c r="AA5" s="316" t="s">
        <v>344</v>
      </c>
      <c r="AB5" s="316" t="s">
        <v>345</v>
      </c>
      <c r="AC5" s="316" t="s">
        <v>346</v>
      </c>
      <c r="AD5" s="316" t="s">
        <v>340</v>
      </c>
      <c r="AE5" s="316" t="s">
        <v>343</v>
      </c>
      <c r="AF5" s="316" t="s">
        <v>360</v>
      </c>
      <c r="AG5" s="316">
        <v>1</v>
      </c>
      <c r="AH5" s="316">
        <v>2</v>
      </c>
      <c r="AI5" s="316">
        <v>3</v>
      </c>
      <c r="AJ5" s="316">
        <v>4</v>
      </c>
      <c r="AK5" s="316" t="s">
        <v>362</v>
      </c>
      <c r="AL5" s="316" t="s">
        <v>342</v>
      </c>
      <c r="AM5" s="316" t="s">
        <v>342</v>
      </c>
      <c r="AN5" s="316" t="s">
        <v>361</v>
      </c>
      <c r="AO5" s="312" t="s">
        <v>347</v>
      </c>
      <c r="AP5" s="312" t="s">
        <v>348</v>
      </c>
      <c r="AQ5" s="312" t="s">
        <v>363</v>
      </c>
      <c r="AR5" s="312" t="s">
        <v>495</v>
      </c>
      <c r="AS5" s="312" t="s">
        <v>496</v>
      </c>
      <c r="AT5" s="312" t="s">
        <v>497</v>
      </c>
      <c r="AU5" s="312" t="s">
        <v>491</v>
      </c>
      <c r="AV5" s="312" t="s">
        <v>350</v>
      </c>
      <c r="AW5" s="312" t="s">
        <v>623</v>
      </c>
      <c r="AX5" s="312" t="s">
        <v>357</v>
      </c>
      <c r="AY5" s="312" t="s">
        <v>358</v>
      </c>
      <c r="AZ5" s="312" t="s">
        <v>624</v>
      </c>
      <c r="BA5" s="312" t="s">
        <v>498</v>
      </c>
      <c r="BB5" s="312" t="s">
        <v>499</v>
      </c>
      <c r="BC5" s="312" t="s">
        <v>500</v>
      </c>
      <c r="BD5" s="312" t="s">
        <v>501</v>
      </c>
      <c r="BE5" s="312" t="s">
        <v>503</v>
      </c>
      <c r="BF5" s="312" t="s">
        <v>504</v>
      </c>
      <c r="BG5" s="312" t="s">
        <v>505</v>
      </c>
      <c r="BH5" s="312" t="s">
        <v>503</v>
      </c>
      <c r="BI5" s="312" t="s">
        <v>509</v>
      </c>
      <c r="BJ5" s="312" t="s">
        <v>510</v>
      </c>
      <c r="BK5" s="312" t="s">
        <v>514</v>
      </c>
      <c r="BL5" s="312" t="s">
        <v>622</v>
      </c>
      <c r="BM5" s="312" t="s">
        <v>522</v>
      </c>
      <c r="BN5" s="312" t="s">
        <v>523</v>
      </c>
      <c r="BO5" s="312" t="s">
        <v>530</v>
      </c>
      <c r="BP5" s="312" t="s">
        <v>530</v>
      </c>
      <c r="BQ5" s="312" t="s">
        <v>533</v>
      </c>
      <c r="BR5" s="312" t="s">
        <v>535</v>
      </c>
      <c r="BS5" s="312" t="s">
        <v>534</v>
      </c>
      <c r="BT5" s="312" t="s">
        <v>629</v>
      </c>
      <c r="BU5" s="312" t="s">
        <v>632</v>
      </c>
      <c r="BV5" s="312" t="s">
        <v>536</v>
      </c>
      <c r="BW5" s="312" t="s">
        <v>674</v>
      </c>
      <c r="BX5" s="312" t="s">
        <v>633</v>
      </c>
      <c r="BY5" s="312" t="s">
        <v>636</v>
      </c>
      <c r="BZ5" s="312" t="s">
        <v>637</v>
      </c>
      <c r="CA5" s="312" t="s">
        <v>638</v>
      </c>
      <c r="CB5" s="312" t="s">
        <v>639</v>
      </c>
      <c r="CC5" s="312">
        <v>2</v>
      </c>
      <c r="CD5" s="312">
        <v>3</v>
      </c>
      <c r="CE5" s="312">
        <v>4</v>
      </c>
      <c r="CF5" s="312" t="s">
        <v>561</v>
      </c>
      <c r="CG5" s="312" t="s">
        <v>562</v>
      </c>
      <c r="CI5" s="312" t="s">
        <v>215</v>
      </c>
      <c r="CJ5" s="312" t="s">
        <v>216</v>
      </c>
      <c r="CK5" s="312" t="s">
        <v>336</v>
      </c>
      <c r="CL5" s="312" t="s">
        <v>643</v>
      </c>
      <c r="CM5" s="312" t="s">
        <v>644</v>
      </c>
      <c r="CN5" s="312" t="s">
        <v>353</v>
      </c>
      <c r="CO5" s="312" t="s">
        <v>352</v>
      </c>
    </row>
    <row r="6" spans="1:93" ht="15">
      <c r="A6" s="325"/>
      <c r="B6" s="360" t="s">
        <v>217</v>
      </c>
      <c r="C6" s="361">
        <v>1</v>
      </c>
      <c r="D6" s="362" t="s">
        <v>604</v>
      </c>
      <c r="E6" s="458" t="s">
        <v>17</v>
      </c>
      <c r="F6" s="459" t="s">
        <v>219</v>
      </c>
      <c r="G6" s="460" t="s">
        <v>220</v>
      </c>
      <c r="H6" s="497" t="str">
        <f>CC6</f>
        <v>E</v>
      </c>
      <c r="I6" s="498" t="str">
        <f>CD6</f>
        <v>G</v>
      </c>
      <c r="J6" s="499" t="str">
        <f>CE6</f>
        <v>G</v>
      </c>
      <c r="K6" s="363" t="s">
        <v>216</v>
      </c>
      <c r="L6" s="24"/>
      <c r="M6" s="363"/>
      <c r="N6" s="363"/>
      <c r="O6" s="364"/>
      <c r="P6" s="365"/>
      <c r="Q6" s="366"/>
      <c r="R6" s="365">
        <f>IF($AW6,CI6,CI6)</f>
        <v>0</v>
      </c>
      <c r="S6" s="366">
        <f>IF($AW6,CJ6,CJ6)</f>
        <v>10</v>
      </c>
      <c r="T6" s="673">
        <f>SUMIF($AV6:$AV7,TRUE,R6:R7)</f>
        <v>20</v>
      </c>
      <c r="U6" s="675">
        <f>SUMIF($AV6:$AV7,TRUE,S6:S7)</f>
        <v>10</v>
      </c>
      <c r="V6" s="365">
        <f>IF(P6="x",1,0)</f>
        <v>0</v>
      </c>
      <c r="W6" s="366">
        <f>IF(Q6="x",1,0)</f>
        <v>0</v>
      </c>
      <c r="X6" s="367" t="str">
        <f>AO6</f>
        <v/>
      </c>
      <c r="Y6" s="366">
        <f>AP6</f>
        <v>0</v>
      </c>
      <c r="Z6" s="368" t="str">
        <f>BV6</f>
        <v>De vraag moet ingevuld worden.</v>
      </c>
      <c r="AA6" s="369">
        <v>1</v>
      </c>
      <c r="AB6" s="316">
        <f aca="true" t="shared" si="0" ref="AB6:AB38">IF(C6="",AB5,C6)</f>
        <v>1</v>
      </c>
      <c r="AC6" s="316" t="str">
        <f aca="true" t="shared" si="1" ref="AC6:AC38">IF(D6="",AC5,D6)</f>
        <v>Welk soort leiderschap streeft u na en waarom?</v>
      </c>
      <c r="AD6" s="316" t="str">
        <f>AB6&amp;" "&amp;AC6</f>
        <v>1 Welk soort leiderschap streeft u na en waarom?</v>
      </c>
      <c r="AE6" s="316" t="str">
        <f aca="true" t="shared" si="2" ref="AE6:AE38">E6&amp;" "&amp;F6</f>
        <v>a Competentie Kennis</v>
      </c>
      <c r="AF6" s="316" t="str">
        <f aca="true" t="shared" si="3" ref="AF6:AF38">AB6&amp;E6</f>
        <v>1a</v>
      </c>
      <c r="AG6" s="316">
        <f>IF($AK6=AG$5,1,0)</f>
        <v>0</v>
      </c>
      <c r="AH6" s="316">
        <f aca="true" t="shared" si="4" ref="AH6:AJ21">IF($AK6=AH$5,1,0)</f>
        <v>0</v>
      </c>
      <c r="AI6" s="316">
        <f t="shared" si="4"/>
        <v>0</v>
      </c>
      <c r="AJ6" s="316">
        <f t="shared" si="4"/>
        <v>0</v>
      </c>
      <c r="AK6" s="316">
        <f>L6</f>
        <v>0</v>
      </c>
      <c r="AL6" s="316" t="e">
        <f aca="true" t="shared" si="5" ref="AL6:AL38">VLOOKUP($AK6,score_percentage,2)</f>
        <v>#N/A</v>
      </c>
      <c r="AM6" s="316">
        <f>IF(ISNA(AL6),0,AL6)</f>
        <v>0</v>
      </c>
      <c r="AN6" s="316">
        <f>IF(R6="",IF(S6="","",S6),R6)</f>
        <v>0</v>
      </c>
      <c r="AO6" s="312" t="str">
        <f aca="true" t="shared" si="6" ref="AO6:AO37">IF(K6=type_o,AM6*R6,"")</f>
        <v/>
      </c>
      <c r="AP6" s="312">
        <f aca="true" t="shared" si="7" ref="AP6:AP37">IF(K6=type_k,AM6*S6,"")</f>
        <v>0</v>
      </c>
      <c r="AQ6" s="312">
        <f>SUM(AO6:AP6)</f>
        <v>0</v>
      </c>
      <c r="AR6" s="312" t="b">
        <f aca="true" t="shared" si="8" ref="AR6:AR38">VLOOKUP($AF6,vragen_must,vragen_uma_kolom_gekozen,FALSE)</f>
        <v>0</v>
      </c>
      <c r="AS6" s="312" t="b">
        <f aca="true" t="shared" si="9" ref="AS6:AS38">VLOOKUP($AF6,vragen_gewoon,vragen_uma_kolom_gekozen,FALSE)</f>
        <v>1</v>
      </c>
      <c r="AT6" s="312" t="b">
        <f aca="true" t="shared" si="10" ref="AT6:AT38">VLOOKUP($AF6,vragen_gewoon_1,vragen_uma_kolom_gekozen,FALSE)</f>
        <v>0</v>
      </c>
      <c r="AU6" s="312" t="b">
        <f aca="true" t="shared" si="11" ref="AU6:AU38">NOT(ISERROR(FIND(TEXT(AK6,"0"),TEXT(VLOOKUP($AF6,scores_mogelijk,vragen_uma_kolom_gekozen,FALSE),"0"))))</f>
        <v>0</v>
      </c>
      <c r="AV6" s="312" t="b">
        <f aca="true" t="shared" si="12" ref="AV6:AV38">VLOOKUP($AF6,vragen_show,vragen_uma_kolom_gekozen,FALSE)</f>
        <v>1</v>
      </c>
      <c r="AW6" s="312" t="b">
        <f aca="true" t="shared" si="13" ref="AW6:AW37">VLOOKUP($AF6,vragen_must_tijdelijk,vragen_uma_kolom_gekozen,FALSE)</f>
        <v>0</v>
      </c>
      <c r="AX6" s="312">
        <f aca="true" t="shared" si="14" ref="AX6:AX38">AV6*R6</f>
        <v>0</v>
      </c>
      <c r="AY6" s="312">
        <f aca="true" t="shared" si="15" ref="AY6:AY38">AV6*S6</f>
        <v>10</v>
      </c>
      <c r="AZ6" s="312" t="b">
        <f>AND(AV6,AW6,AU6)</f>
        <v>0</v>
      </c>
      <c r="BA6" s="312" t="b">
        <f>AND(AV6,AR6,AU6)</f>
        <v>0</v>
      </c>
      <c r="BB6" s="312" t="b">
        <f aca="true" t="shared" si="16" ref="BB6:BB37">AND(AV6,AS6,AU6)</f>
        <v>0</v>
      </c>
      <c r="BC6" s="312" t="b">
        <f aca="true" t="shared" si="17" ref="BC6:BC37">AND(AV6,AT6,AU6)</f>
        <v>0</v>
      </c>
      <c r="BD6" s="312">
        <v>1</v>
      </c>
      <c r="BE6" s="312" t="b">
        <f aca="true" t="shared" si="18" ref="BE6:BE37">AND(AR6,$AV6,NOT(BA6))</f>
        <v>0</v>
      </c>
      <c r="BF6" s="312" t="b">
        <f aca="true" t="shared" si="19" ref="BF6:BF37">AND(AS6,$AV6,NOT(BB6))</f>
        <v>1</v>
      </c>
      <c r="BG6" s="312" t="b">
        <f aca="true" t="shared" si="20" ref="BG6:BG37">AND(AT6,$AV6,NOT(BC6))</f>
        <v>0</v>
      </c>
      <c r="BH6" s="312" t="b">
        <f aca="true" t="shared" si="21" ref="BH6:BH37">AND(AR6,$AV6)</f>
        <v>0</v>
      </c>
      <c r="BI6" s="312" t="b">
        <f aca="true" t="shared" si="22" ref="BI6:BI37">AND(AS6,$AV6)</f>
        <v>1</v>
      </c>
      <c r="BJ6" s="312" t="b">
        <f aca="true" t="shared" si="23" ref="BJ6:BJ37">AND(AT6,$AV6)</f>
        <v>0</v>
      </c>
      <c r="BK6" s="312" t="b">
        <f aca="true" t="shared" si="24" ref="BK6:BK37">AND(AV6,OR(AS6,AT6),NOT(ISERROR(FIND(TEXT(AK6,"0"),scores_must))))</f>
        <v>0</v>
      </c>
      <c r="BL6" s="312" t="b">
        <f>AND(AW6,$AV6)</f>
        <v>0</v>
      </c>
      <c r="BM6" s="312" t="b">
        <f aca="true" t="shared" si="25" ref="BM6:BM38">$K6=type_o</f>
        <v>0</v>
      </c>
      <c r="BN6" s="312" t="b">
        <f aca="true" t="shared" si="26" ref="BN6:BN38">$K6=type_k</f>
        <v>1</v>
      </c>
      <c r="BO6" s="312" t="b">
        <f aca="true" t="shared" si="27" ref="BO6:BO37">(L6&lt;&gt;"")</f>
        <v>0</v>
      </c>
      <c r="BP6" s="312" t="str">
        <f aca="true" t="shared" si="28" ref="BP6:BP38">IF(BO6,"",vraag_voorwaarde_ingevuld)</f>
        <v>De vraag moet ingevuld worden.</v>
      </c>
      <c r="BQ6" s="312" t="str">
        <f aca="true" t="shared" si="29" ref="BQ6:BQ37">IF(AR6,IF(BA6,"",vraag_voorwaarde_must),"")</f>
        <v/>
      </c>
      <c r="BR6" s="312" t="str">
        <f aca="true" t="shared" si="30" ref="BR6:BR37">IF(AS6,IF(BB6,"",vraag_voorwaarde_gewone_1),"")</f>
        <v>Deze vraag moet minimaal antwoord 2, 3 of 4 hebben.</v>
      </c>
      <c r="BS6" s="312" t="str">
        <f aca="true" t="shared" si="31" ref="BS6:BS37">IF(AT6,IF(BC6,"",""),"")</f>
        <v/>
      </c>
      <c r="BT6" s="312" t="str">
        <f aca="true" t="shared" si="32" ref="BT6:BT37">IF(AW6,IF(AZ6,"",vraag_voorwaarde_must_tijdelijk),"")</f>
        <v/>
      </c>
      <c r="BU6" s="312" t="str">
        <f aca="true" t="shared" si="33" ref="BU6:BU37">IF(BX6&lt;&gt;"",IF(BZ6,"",VLOOKUP(BX6,hulptabel_ontwikkel,2,FALSE)),"")</f>
        <v/>
      </c>
      <c r="BV6" s="312" t="str">
        <f>IF(BP6&lt;&gt;"",BP6,BQ6&amp;BR6&amp;BS6&amp;BT6&amp;BW6)</f>
        <v>De vraag moet ingevuld worden.</v>
      </c>
      <c r="BW6" s="312" t="str">
        <f aca="true" t="shared" si="34" ref="BW6:BW37">IF(AND(AV6,AZ6,AK6=2),vraag_voorwaarde_must_tijdelijk_a_2,"")</f>
        <v/>
      </c>
      <c r="BX6" s="312" t="str">
        <f aca="true" t="shared" si="35" ref="BX6:BX37">IF(OR(CD6=CE6,AND(CD6=lbl_vraag_must_ontwikkel,CE6=lbl_vraag_extra,FALSE)),"",IF(CE6="","G",CE6))</f>
        <v/>
      </c>
      <c r="BY6" s="312" t="str">
        <f aca="true" t="shared" si="36" ref="BY6:BY37">IF(BX6&lt;&gt;"",VLOOKUP(BX6,hulptabel_ontwikkel,3,FALSE),"")</f>
        <v/>
      </c>
      <c r="BZ6" s="312" t="b">
        <f>OR(BX6="",NOT(ISERROR(FIND(TEXT(AK6,"0"),TEXT(BY6,"0")))))</f>
        <v>1</v>
      </c>
      <c r="CA6" s="312" t="b">
        <f aca="true" t="shared" si="37" ref="CA6:CA37">VLOOKUP($AF6,vragen_ontwikkel,vragen_uma_kolom_gekozen,FALSE)</f>
        <v>0</v>
      </c>
      <c r="CB6" s="312" t="b">
        <f>AND(AV6,CA6,AU6)</f>
        <v>0</v>
      </c>
      <c r="CC6" s="312" t="str">
        <f aca="true" t="shared" si="38" ref="CC6:CE25">IF($AV6,IF(VLOOKUP($AF6,vragen_must,CC$5,FALSE),lbl_vraag_must,IF(VLOOKUP($AF6,vragen_gewoon_1,CC$5,FALSE),lbl_vraag_extra,IF(VLOOKUP($AF6,vragen_must_tijdelijk,CC$5,FALSE),lbl_vraag_must_tijdelijk,IF(VLOOKUP($AF6,vragen_ontwikkel,CC$5,FALSE),lbl_vraag_must_ontwikkel,lbl_gewone_vraag)))),"")</f>
        <v>E</v>
      </c>
      <c r="CD6" s="312" t="str">
        <f t="shared" si="38"/>
        <v>G</v>
      </c>
      <c r="CE6" s="312" t="str">
        <f t="shared" si="38"/>
        <v>G</v>
      </c>
      <c r="CF6" s="312" t="b">
        <f aca="true" t="shared" si="39" ref="CF6:CF37">A6&lt;&gt;""</f>
        <v>0</v>
      </c>
      <c r="CG6" s="312" t="str">
        <f aca="true" t="shared" si="40" ref="CG6:CG37">IF(AND(NOT(CF6),CF5,AV5),"",A6)</f>
        <v/>
      </c>
      <c r="CJ6" s="312">
        <v>10</v>
      </c>
      <c r="CK6" s="312" t="str">
        <f>B5</f>
        <v>INK organisatiegebieden</v>
      </c>
      <c r="CL6" s="312">
        <f aca="true" t="shared" si="41" ref="CL6:CL37">VLOOKUP($AF6,scores_mogelijk,vragen_uma_kolom_gekozen,FALSE)</f>
        <v>234</v>
      </c>
      <c r="CM6" s="312">
        <f>CO6-AK6</f>
        <v>4</v>
      </c>
      <c r="CN6" s="312">
        <f>VALUE(IF($BY6&lt;&gt;"",LEFT($BY6,1),LEFT($CL6,1)))</f>
        <v>2</v>
      </c>
      <c r="CO6" s="312">
        <f>VALUE(IF($BY6&lt;&gt;"",RIGHT($BY6,1),RIGHT($CL6,1)))</f>
        <v>4</v>
      </c>
    </row>
    <row r="7" spans="1:93" ht="15.75" thickBot="1">
      <c r="A7" s="370"/>
      <c r="B7" s="371"/>
      <c r="C7" s="372"/>
      <c r="D7" s="371"/>
      <c r="E7" s="458" t="s">
        <v>18</v>
      </c>
      <c r="F7" s="461" t="s">
        <v>221</v>
      </c>
      <c r="G7" s="462" t="s">
        <v>222</v>
      </c>
      <c r="H7" s="497" t="str">
        <f aca="true" t="shared" si="42" ref="H7:H56">CC7</f>
        <v>E</v>
      </c>
      <c r="I7" s="498" t="str">
        <f aca="true" t="shared" si="43" ref="I7:I56">CD7</f>
        <v>G</v>
      </c>
      <c r="J7" s="499" t="str">
        <f aca="true" t="shared" si="44" ref="J7:J56">CE7</f>
        <v>G</v>
      </c>
      <c r="K7" s="363" t="s">
        <v>215</v>
      </c>
      <c r="L7" s="24"/>
      <c r="M7" s="363"/>
      <c r="N7" s="363"/>
      <c r="O7" s="364"/>
      <c r="P7" s="365"/>
      <c r="Q7" s="366"/>
      <c r="R7" s="373">
        <f aca="true" t="shared" si="45" ref="R7:R56">IF($AW7,CI7,CI7)</f>
        <v>20</v>
      </c>
      <c r="S7" s="374">
        <f aca="true" t="shared" si="46" ref="S7:S56">IF($AW7,CJ7,CJ7)</f>
        <v>0</v>
      </c>
      <c r="T7" s="674"/>
      <c r="U7" s="676"/>
      <c r="V7" s="375">
        <f aca="true" t="shared" si="47" ref="V7:V9">IF(P7="x",1,0)</f>
        <v>0</v>
      </c>
      <c r="W7" s="366">
        <f aca="true" t="shared" si="48" ref="W7:W11">IF(Q7="x",1,0)</f>
        <v>0</v>
      </c>
      <c r="X7" s="367">
        <f aca="true" t="shared" si="49" ref="X7:X56">AO7</f>
        <v>0</v>
      </c>
      <c r="Y7" s="366" t="str">
        <f aca="true" t="shared" si="50" ref="Y7:Y56">AP7</f>
        <v/>
      </c>
      <c r="Z7" s="368" t="str">
        <f aca="true" t="shared" si="51" ref="Z7:Z56">BV7</f>
        <v>De vraag moet ingevuld worden.</v>
      </c>
      <c r="AA7" s="369">
        <f>AA6+1</f>
        <v>2</v>
      </c>
      <c r="AB7" s="316">
        <f t="shared" si="0"/>
        <v>1</v>
      </c>
      <c r="AC7" s="316" t="str">
        <f t="shared" si="1"/>
        <v>Welk soort leiderschap streeft u na en waarom?</v>
      </c>
      <c r="AD7" s="316" t="str">
        <f aca="true" t="shared" si="52" ref="AD7:AD56">AB7&amp;" "&amp;AC7</f>
        <v>1 Welk soort leiderschap streeft u na en waarom?</v>
      </c>
      <c r="AE7" s="316" t="str">
        <f t="shared" si="2"/>
        <v>b Competentie Resultaatgerichtheid</v>
      </c>
      <c r="AF7" s="316" t="str">
        <f t="shared" si="3"/>
        <v>1b</v>
      </c>
      <c r="AG7" s="316">
        <f aca="true" t="shared" si="53" ref="AG7:AJ39">IF($AK7=AG$5,1,0)</f>
        <v>0</v>
      </c>
      <c r="AH7" s="316">
        <f t="shared" si="4"/>
        <v>0</v>
      </c>
      <c r="AI7" s="316">
        <f t="shared" si="4"/>
        <v>0</v>
      </c>
      <c r="AJ7" s="316">
        <f t="shared" si="4"/>
        <v>0</v>
      </c>
      <c r="AK7" s="316">
        <f aca="true" t="shared" si="54" ref="AK7:AK56">L7</f>
        <v>0</v>
      </c>
      <c r="AL7" s="316" t="e">
        <f t="shared" si="5"/>
        <v>#N/A</v>
      </c>
      <c r="AM7" s="316">
        <f aca="true" t="shared" si="55" ref="AM7:AM56">IF(ISNA(AL7),0,AL7)</f>
        <v>0</v>
      </c>
      <c r="AN7" s="316">
        <f aca="true" t="shared" si="56" ref="AN7:AN56">IF(R7="",IF(S7="","",S7),R7)</f>
        <v>20</v>
      </c>
      <c r="AO7" s="312">
        <f t="shared" si="6"/>
        <v>0</v>
      </c>
      <c r="AP7" s="312" t="str">
        <f t="shared" si="7"/>
        <v/>
      </c>
      <c r="AQ7" s="312">
        <f aca="true" t="shared" si="57" ref="AQ7:AQ56">SUM(AO7:AP7)</f>
        <v>0</v>
      </c>
      <c r="AR7" s="312" t="b">
        <f t="shared" si="8"/>
        <v>0</v>
      </c>
      <c r="AS7" s="312" t="b">
        <f t="shared" si="9"/>
        <v>1</v>
      </c>
      <c r="AT7" s="312" t="b">
        <f t="shared" si="10"/>
        <v>0</v>
      </c>
      <c r="AU7" s="312" t="b">
        <f t="shared" si="11"/>
        <v>0</v>
      </c>
      <c r="AV7" s="312" t="b">
        <f t="shared" si="12"/>
        <v>1</v>
      </c>
      <c r="AW7" s="312" t="b">
        <f t="shared" si="13"/>
        <v>0</v>
      </c>
      <c r="AX7" s="312">
        <f t="shared" si="14"/>
        <v>20</v>
      </c>
      <c r="AY7" s="312">
        <f t="shared" si="15"/>
        <v>0</v>
      </c>
      <c r="AZ7" s="312" t="b">
        <f aca="true" t="shared" si="58" ref="AZ7:AZ56">AND(AV7,AW7,AU7)</f>
        <v>0</v>
      </c>
      <c r="BA7" s="312" t="b">
        <f aca="true" t="shared" si="59" ref="BA7:BA56">AND(AV7,AR7,AU7)</f>
        <v>0</v>
      </c>
      <c r="BB7" s="312" t="b">
        <f t="shared" si="16"/>
        <v>0</v>
      </c>
      <c r="BC7" s="312" t="b">
        <f t="shared" si="17"/>
        <v>0</v>
      </c>
      <c r="BD7" s="312">
        <v>1</v>
      </c>
      <c r="BE7" s="312" t="b">
        <f t="shared" si="18"/>
        <v>0</v>
      </c>
      <c r="BF7" s="312" t="b">
        <f t="shared" si="19"/>
        <v>1</v>
      </c>
      <c r="BG7" s="312" t="b">
        <f t="shared" si="20"/>
        <v>0</v>
      </c>
      <c r="BH7" s="312" t="b">
        <f t="shared" si="21"/>
        <v>0</v>
      </c>
      <c r="BI7" s="312" t="b">
        <f t="shared" si="22"/>
        <v>1</v>
      </c>
      <c r="BJ7" s="312" t="b">
        <f t="shared" si="23"/>
        <v>0</v>
      </c>
      <c r="BK7" s="312" t="b">
        <f t="shared" si="24"/>
        <v>0</v>
      </c>
      <c r="BL7" s="312" t="b">
        <f aca="true" t="shared" si="60" ref="BL7:BL56">AND(AW7,$AV7)</f>
        <v>0</v>
      </c>
      <c r="BM7" s="312" t="b">
        <f t="shared" si="25"/>
        <v>1</v>
      </c>
      <c r="BN7" s="312" t="b">
        <f t="shared" si="26"/>
        <v>0</v>
      </c>
      <c r="BO7" s="312" t="b">
        <f t="shared" si="27"/>
        <v>0</v>
      </c>
      <c r="BP7" s="312" t="str">
        <f t="shared" si="28"/>
        <v>De vraag moet ingevuld worden.</v>
      </c>
      <c r="BQ7" s="312" t="str">
        <f t="shared" si="29"/>
        <v/>
      </c>
      <c r="BR7" s="312" t="str">
        <f t="shared" si="30"/>
        <v>Deze vraag moet minimaal antwoord 2, 3 of 4 hebben.</v>
      </c>
      <c r="BS7" s="312" t="str">
        <f t="shared" si="31"/>
        <v/>
      </c>
      <c r="BT7" s="312" t="str">
        <f t="shared" si="32"/>
        <v/>
      </c>
      <c r="BU7" s="312" t="str">
        <f t="shared" si="33"/>
        <v/>
      </c>
      <c r="BV7" s="312" t="str">
        <f aca="true" t="shared" si="61" ref="BV7:BV56">IF(BP7&lt;&gt;"",BP7,BQ7&amp;BR7&amp;BS7&amp;BT7&amp;BW7)</f>
        <v>De vraag moet ingevuld worden.</v>
      </c>
      <c r="BW7" s="312" t="str">
        <f t="shared" si="34"/>
        <v/>
      </c>
      <c r="BX7" s="312" t="str">
        <f t="shared" si="35"/>
        <v/>
      </c>
      <c r="BY7" s="312" t="str">
        <f t="shared" si="36"/>
        <v/>
      </c>
      <c r="BZ7" s="312" t="b">
        <f aca="true" t="shared" si="62" ref="BZ7:BZ56">OR(BX7="",NOT(ISERROR(FIND(TEXT(AK7,"0"),TEXT(BY7,"0")))))</f>
        <v>1</v>
      </c>
      <c r="CA7" s="312" t="b">
        <f t="shared" si="37"/>
        <v>0</v>
      </c>
      <c r="CB7" s="312" t="b">
        <f aca="true" t="shared" si="63" ref="CB7:CB56">AND(AV7,CA7,AU7)</f>
        <v>0</v>
      </c>
      <c r="CC7" s="312" t="str">
        <f t="shared" si="38"/>
        <v>E</v>
      </c>
      <c r="CD7" s="312" t="str">
        <f t="shared" si="38"/>
        <v>G</v>
      </c>
      <c r="CE7" s="312" t="str">
        <f t="shared" si="38"/>
        <v>G</v>
      </c>
      <c r="CF7" s="312" t="b">
        <f t="shared" si="39"/>
        <v>0</v>
      </c>
      <c r="CG7" s="312">
        <f t="shared" si="40"/>
        <v>0</v>
      </c>
      <c r="CH7" s="312">
        <f aca="true" t="shared" si="64" ref="CH7:CH38">IF(NOT(CF7),A6,CG7)</f>
        <v>0</v>
      </c>
      <c r="CI7" s="312">
        <v>20</v>
      </c>
      <c r="CK7" s="312" t="str">
        <f>CK6</f>
        <v>INK organisatiegebieden</v>
      </c>
      <c r="CL7" s="312">
        <f t="shared" si="41"/>
        <v>234</v>
      </c>
      <c r="CM7" s="312">
        <f aca="true" t="shared" si="65" ref="CM7:CM56">CO7-AK7</f>
        <v>4</v>
      </c>
      <c r="CN7" s="312">
        <f aca="true" t="shared" si="66" ref="CN7:CN56">VALUE(IF($BY7&lt;&gt;"",LEFT($BY7,1),LEFT($CL7,1)))</f>
        <v>2</v>
      </c>
      <c r="CO7" s="312">
        <f aca="true" t="shared" si="67" ref="CO7:CO56">VALUE(IF($BY7&lt;&gt;"",RIGHT($BY7,1),RIGHT($CL7,1)))</f>
        <v>4</v>
      </c>
    </row>
    <row r="8" spans="1:93" ht="15">
      <c r="A8" s="325"/>
      <c r="B8" s="360" t="s">
        <v>223</v>
      </c>
      <c r="C8" s="376">
        <v>2</v>
      </c>
      <c r="D8" s="677" t="s">
        <v>224</v>
      </c>
      <c r="E8" s="463" t="s">
        <v>17</v>
      </c>
      <c r="F8" s="464" t="s">
        <v>225</v>
      </c>
      <c r="G8" s="465" t="s">
        <v>226</v>
      </c>
      <c r="H8" s="500" t="str">
        <f t="shared" si="42"/>
        <v>E</v>
      </c>
      <c r="I8" s="501" t="str">
        <f t="shared" si="43"/>
        <v>G</v>
      </c>
      <c r="J8" s="502" t="str">
        <f t="shared" si="44"/>
        <v>(M)</v>
      </c>
      <c r="K8" s="377" t="s">
        <v>215</v>
      </c>
      <c r="L8" s="25"/>
      <c r="M8" s="377"/>
      <c r="N8" s="377"/>
      <c r="O8" s="378"/>
      <c r="P8" s="379"/>
      <c r="Q8" s="380"/>
      <c r="R8" s="379">
        <f t="shared" si="45"/>
        <v>15</v>
      </c>
      <c r="S8" s="380">
        <f t="shared" si="46"/>
        <v>0</v>
      </c>
      <c r="T8" s="673">
        <f>SUMIF($AV8:$AV10,TRUE,R8:R10)</f>
        <v>30</v>
      </c>
      <c r="U8" s="675">
        <f>SUMIF($AV8:$AV10,TRUE,S8:S10)</f>
        <v>10</v>
      </c>
      <c r="V8" s="379">
        <f t="shared" si="47"/>
        <v>0</v>
      </c>
      <c r="W8" s="366">
        <f t="shared" si="48"/>
        <v>0</v>
      </c>
      <c r="X8" s="367">
        <f t="shared" si="49"/>
        <v>0</v>
      </c>
      <c r="Y8" s="366" t="str">
        <f t="shared" si="50"/>
        <v/>
      </c>
      <c r="Z8" s="368" t="str">
        <f t="shared" si="51"/>
        <v>De vraag moet ingevuld worden.</v>
      </c>
      <c r="AA8" s="369">
        <f aca="true" t="shared" si="68" ref="AA8:AA56">AA7+1</f>
        <v>3</v>
      </c>
      <c r="AB8" s="316">
        <f t="shared" si="0"/>
        <v>2</v>
      </c>
      <c r="AC8" s="316" t="str">
        <f t="shared" si="1"/>
        <v>Wat is de missie en visie van de organisatie, hoe verwezenlijkt u deze strategie?</v>
      </c>
      <c r="AD8" s="316" t="str">
        <f t="shared" si="52"/>
        <v>2 Wat is de missie en visie van de organisatie, hoe verwezenlijkt u deze strategie?</v>
      </c>
      <c r="AE8" s="316" t="str">
        <f t="shared" si="2"/>
        <v>a Missie en visie</v>
      </c>
      <c r="AF8" s="316" t="str">
        <f t="shared" si="3"/>
        <v>2a</v>
      </c>
      <c r="AG8" s="316">
        <f t="shared" si="53"/>
        <v>0</v>
      </c>
      <c r="AH8" s="316">
        <f t="shared" si="4"/>
        <v>0</v>
      </c>
      <c r="AI8" s="316">
        <f t="shared" si="4"/>
        <v>0</v>
      </c>
      <c r="AJ8" s="316">
        <f t="shared" si="4"/>
        <v>0</v>
      </c>
      <c r="AK8" s="316">
        <f t="shared" si="54"/>
        <v>0</v>
      </c>
      <c r="AL8" s="316" t="e">
        <f t="shared" si="5"/>
        <v>#N/A</v>
      </c>
      <c r="AM8" s="316">
        <f t="shared" si="55"/>
        <v>0</v>
      </c>
      <c r="AN8" s="316">
        <f t="shared" si="56"/>
        <v>15</v>
      </c>
      <c r="AO8" s="312">
        <f t="shared" si="6"/>
        <v>0</v>
      </c>
      <c r="AP8" s="312" t="str">
        <f t="shared" si="7"/>
        <v/>
      </c>
      <c r="AQ8" s="312">
        <f t="shared" si="57"/>
        <v>0</v>
      </c>
      <c r="AR8" s="312" t="b">
        <f t="shared" si="8"/>
        <v>0</v>
      </c>
      <c r="AS8" s="312" t="b">
        <f t="shared" si="9"/>
        <v>1</v>
      </c>
      <c r="AT8" s="312" t="b">
        <f t="shared" si="10"/>
        <v>0</v>
      </c>
      <c r="AU8" s="312" t="b">
        <f t="shared" si="11"/>
        <v>0</v>
      </c>
      <c r="AV8" s="312" t="b">
        <f t="shared" si="12"/>
        <v>1</v>
      </c>
      <c r="AW8" s="312" t="b">
        <f t="shared" si="13"/>
        <v>0</v>
      </c>
      <c r="AX8" s="312">
        <f t="shared" si="14"/>
        <v>15</v>
      </c>
      <c r="AY8" s="312">
        <f t="shared" si="15"/>
        <v>0</v>
      </c>
      <c r="AZ8" s="312" t="b">
        <f t="shared" si="58"/>
        <v>0</v>
      </c>
      <c r="BA8" s="312" t="b">
        <f t="shared" si="59"/>
        <v>0</v>
      </c>
      <c r="BB8" s="312" t="b">
        <f t="shared" si="16"/>
        <v>0</v>
      </c>
      <c r="BC8" s="312" t="b">
        <f t="shared" si="17"/>
        <v>0</v>
      </c>
      <c r="BD8" s="312">
        <v>1</v>
      </c>
      <c r="BE8" s="312" t="b">
        <f t="shared" si="18"/>
        <v>0</v>
      </c>
      <c r="BF8" s="312" t="b">
        <f t="shared" si="19"/>
        <v>1</v>
      </c>
      <c r="BG8" s="312" t="b">
        <f t="shared" si="20"/>
        <v>0</v>
      </c>
      <c r="BH8" s="312" t="b">
        <f t="shared" si="21"/>
        <v>0</v>
      </c>
      <c r="BI8" s="312" t="b">
        <f t="shared" si="22"/>
        <v>1</v>
      </c>
      <c r="BJ8" s="312" t="b">
        <f t="shared" si="23"/>
        <v>0</v>
      </c>
      <c r="BK8" s="312" t="b">
        <f t="shared" si="24"/>
        <v>0</v>
      </c>
      <c r="BL8" s="312" t="b">
        <f t="shared" si="60"/>
        <v>0</v>
      </c>
      <c r="BM8" s="312" t="b">
        <f t="shared" si="25"/>
        <v>1</v>
      </c>
      <c r="BN8" s="312" t="b">
        <f t="shared" si="26"/>
        <v>0</v>
      </c>
      <c r="BO8" s="312" t="b">
        <f t="shared" si="27"/>
        <v>0</v>
      </c>
      <c r="BP8" s="312" t="str">
        <f t="shared" si="28"/>
        <v>De vraag moet ingevuld worden.</v>
      </c>
      <c r="BQ8" s="312" t="str">
        <f t="shared" si="29"/>
        <v/>
      </c>
      <c r="BR8" s="312" t="str">
        <f t="shared" si="30"/>
        <v>Deze vraag moet minimaal antwoord 2, 3 of 4 hebben.</v>
      </c>
      <c r="BS8" s="312" t="str">
        <f t="shared" si="31"/>
        <v/>
      </c>
      <c r="BT8" s="312" t="str">
        <f t="shared" si="32"/>
        <v/>
      </c>
      <c r="BU8" s="312" t="str">
        <f t="shared" si="33"/>
        <v>Dit antwoord is nu nog acceptabel, maar vanaf 1 juli 2020 moet het antwoord tenminste 3 zijn.</v>
      </c>
      <c r="BV8" s="312" t="str">
        <f t="shared" si="61"/>
        <v>De vraag moet ingevuld worden.</v>
      </c>
      <c r="BW8" s="312" t="str">
        <f t="shared" si="34"/>
        <v/>
      </c>
      <c r="BX8" s="312" t="str">
        <f t="shared" si="35"/>
        <v>(M)</v>
      </c>
      <c r="BY8" s="312">
        <f t="shared" si="36"/>
        <v>234</v>
      </c>
      <c r="BZ8" s="312" t="b">
        <f t="shared" si="62"/>
        <v>0</v>
      </c>
      <c r="CA8" s="312" t="b">
        <f t="shared" si="37"/>
        <v>0</v>
      </c>
      <c r="CB8" s="312" t="b">
        <f t="shared" si="63"/>
        <v>0</v>
      </c>
      <c r="CC8" s="312" t="str">
        <f t="shared" si="38"/>
        <v>E</v>
      </c>
      <c r="CD8" s="312" t="str">
        <f t="shared" si="38"/>
        <v>G</v>
      </c>
      <c r="CE8" s="312" t="str">
        <f t="shared" si="38"/>
        <v>(M)</v>
      </c>
      <c r="CF8" s="312" t="b">
        <f t="shared" si="39"/>
        <v>0</v>
      </c>
      <c r="CG8" s="312">
        <f t="shared" si="40"/>
        <v>0</v>
      </c>
      <c r="CH8" s="312">
        <f t="shared" si="64"/>
        <v>0</v>
      </c>
      <c r="CI8" s="312">
        <v>15</v>
      </c>
      <c r="CK8" s="312" t="str">
        <f aca="true" t="shared" si="69" ref="CK8:CK17">CK7</f>
        <v>INK organisatiegebieden</v>
      </c>
      <c r="CL8" s="312">
        <f t="shared" si="41"/>
        <v>234</v>
      </c>
      <c r="CM8" s="312">
        <f t="shared" si="65"/>
        <v>4</v>
      </c>
      <c r="CN8" s="312">
        <f t="shared" si="66"/>
        <v>2</v>
      </c>
      <c r="CO8" s="312">
        <f t="shared" si="67"/>
        <v>4</v>
      </c>
    </row>
    <row r="9" spans="1:93" ht="15">
      <c r="A9" s="370"/>
      <c r="B9" s="371"/>
      <c r="C9" s="381"/>
      <c r="D9" s="678"/>
      <c r="E9" s="466" t="s">
        <v>18</v>
      </c>
      <c r="F9" s="467" t="s">
        <v>227</v>
      </c>
      <c r="G9" s="468" t="s">
        <v>226</v>
      </c>
      <c r="H9" s="503" t="str">
        <f t="shared" si="42"/>
        <v>E</v>
      </c>
      <c r="I9" s="504" t="str">
        <f t="shared" si="43"/>
        <v>M</v>
      </c>
      <c r="J9" s="505" t="str">
        <f t="shared" si="44"/>
        <v>M</v>
      </c>
      <c r="K9" s="382" t="s">
        <v>215</v>
      </c>
      <c r="L9" s="26"/>
      <c r="M9" s="382"/>
      <c r="N9" s="382"/>
      <c r="O9" s="383"/>
      <c r="P9" s="375"/>
      <c r="Q9" s="384"/>
      <c r="R9" s="375">
        <f t="shared" si="45"/>
        <v>15</v>
      </c>
      <c r="S9" s="384">
        <f t="shared" si="46"/>
        <v>0</v>
      </c>
      <c r="T9" s="674"/>
      <c r="U9" s="676"/>
      <c r="V9" s="375">
        <f t="shared" si="47"/>
        <v>0</v>
      </c>
      <c r="W9" s="366">
        <f t="shared" si="48"/>
        <v>0</v>
      </c>
      <c r="X9" s="367">
        <f t="shared" si="49"/>
        <v>0</v>
      </c>
      <c r="Y9" s="366" t="str">
        <f t="shared" si="50"/>
        <v/>
      </c>
      <c r="Z9" s="368" t="str">
        <f t="shared" si="51"/>
        <v>De vraag moet ingevuld worden.</v>
      </c>
      <c r="AA9" s="369">
        <f t="shared" si="68"/>
        <v>4</v>
      </c>
      <c r="AB9" s="316">
        <f t="shared" si="0"/>
        <v>2</v>
      </c>
      <c r="AC9" s="316" t="str">
        <f t="shared" si="1"/>
        <v>Wat is de missie en visie van de organisatie, hoe verwezenlijkt u deze strategie?</v>
      </c>
      <c r="AD9" s="316" t="str">
        <f t="shared" si="52"/>
        <v>2 Wat is de missie en visie van de organisatie, hoe verwezenlijkt u deze strategie?</v>
      </c>
      <c r="AE9" s="316" t="str">
        <f t="shared" si="2"/>
        <v>b Strategie en doelstellingen</v>
      </c>
      <c r="AF9" s="316" t="str">
        <f t="shared" si="3"/>
        <v>2b</v>
      </c>
      <c r="AG9" s="316">
        <f t="shared" si="53"/>
        <v>0</v>
      </c>
      <c r="AH9" s="316">
        <f t="shared" si="4"/>
        <v>0</v>
      </c>
      <c r="AI9" s="316">
        <f t="shared" si="4"/>
        <v>0</v>
      </c>
      <c r="AJ9" s="316">
        <f t="shared" si="4"/>
        <v>0</v>
      </c>
      <c r="AK9" s="316">
        <f t="shared" si="54"/>
        <v>0</v>
      </c>
      <c r="AL9" s="316" t="e">
        <f t="shared" si="5"/>
        <v>#N/A</v>
      </c>
      <c r="AM9" s="316">
        <f t="shared" si="55"/>
        <v>0</v>
      </c>
      <c r="AN9" s="316">
        <f t="shared" si="56"/>
        <v>15</v>
      </c>
      <c r="AO9" s="312">
        <f t="shared" si="6"/>
        <v>0</v>
      </c>
      <c r="AP9" s="312" t="str">
        <f t="shared" si="7"/>
        <v/>
      </c>
      <c r="AQ9" s="312">
        <f t="shared" si="57"/>
        <v>0</v>
      </c>
      <c r="AR9" s="312" t="b">
        <f t="shared" si="8"/>
        <v>1</v>
      </c>
      <c r="AS9" s="312" t="b">
        <f t="shared" si="9"/>
        <v>0</v>
      </c>
      <c r="AT9" s="312" t="b">
        <f t="shared" si="10"/>
        <v>0</v>
      </c>
      <c r="AU9" s="312" t="b">
        <f t="shared" si="11"/>
        <v>0</v>
      </c>
      <c r="AV9" s="312" t="b">
        <f t="shared" si="12"/>
        <v>1</v>
      </c>
      <c r="AW9" s="312" t="b">
        <f t="shared" si="13"/>
        <v>0</v>
      </c>
      <c r="AX9" s="312">
        <f t="shared" si="14"/>
        <v>15</v>
      </c>
      <c r="AY9" s="312">
        <f t="shared" si="15"/>
        <v>0</v>
      </c>
      <c r="AZ9" s="312" t="b">
        <f t="shared" si="58"/>
        <v>0</v>
      </c>
      <c r="BA9" s="312" t="b">
        <f t="shared" si="59"/>
        <v>0</v>
      </c>
      <c r="BB9" s="312" t="b">
        <f t="shared" si="16"/>
        <v>0</v>
      </c>
      <c r="BC9" s="312" t="b">
        <f t="shared" si="17"/>
        <v>0</v>
      </c>
      <c r="BD9" s="312">
        <v>1</v>
      </c>
      <c r="BE9" s="312" t="b">
        <f t="shared" si="18"/>
        <v>1</v>
      </c>
      <c r="BF9" s="312" t="b">
        <f t="shared" si="19"/>
        <v>0</v>
      </c>
      <c r="BG9" s="312" t="b">
        <f t="shared" si="20"/>
        <v>0</v>
      </c>
      <c r="BH9" s="312" t="b">
        <f t="shared" si="21"/>
        <v>1</v>
      </c>
      <c r="BI9" s="312" t="b">
        <f t="shared" si="22"/>
        <v>0</v>
      </c>
      <c r="BJ9" s="312" t="b">
        <f t="shared" si="23"/>
        <v>0</v>
      </c>
      <c r="BK9" s="312" t="b">
        <f t="shared" si="24"/>
        <v>0</v>
      </c>
      <c r="BL9" s="312" t="b">
        <f t="shared" si="60"/>
        <v>0</v>
      </c>
      <c r="BM9" s="312" t="b">
        <f t="shared" si="25"/>
        <v>1</v>
      </c>
      <c r="BN9" s="312" t="b">
        <f t="shared" si="26"/>
        <v>0</v>
      </c>
      <c r="BO9" s="312" t="b">
        <f t="shared" si="27"/>
        <v>0</v>
      </c>
      <c r="BP9" s="312" t="str">
        <f t="shared" si="28"/>
        <v>De vraag moet ingevuld worden.</v>
      </c>
      <c r="BQ9" s="312" t="str">
        <f t="shared" si="29"/>
        <v>Een MUST-vraag moet minimaal antwoord 3 of 4 hebben.</v>
      </c>
      <c r="BR9" s="312" t="str">
        <f t="shared" si="30"/>
        <v/>
      </c>
      <c r="BS9" s="312" t="str">
        <f t="shared" si="31"/>
        <v/>
      </c>
      <c r="BT9" s="312" t="str">
        <f t="shared" si="32"/>
        <v/>
      </c>
      <c r="BU9" s="312" t="str">
        <f t="shared" si="33"/>
        <v/>
      </c>
      <c r="BV9" s="312" t="str">
        <f t="shared" si="61"/>
        <v>De vraag moet ingevuld worden.</v>
      </c>
      <c r="BW9" s="312" t="str">
        <f t="shared" si="34"/>
        <v/>
      </c>
      <c r="BX9" s="312" t="str">
        <f t="shared" si="35"/>
        <v/>
      </c>
      <c r="BY9" s="312" t="str">
        <f t="shared" si="36"/>
        <v/>
      </c>
      <c r="BZ9" s="312" t="b">
        <f t="shared" si="62"/>
        <v>1</v>
      </c>
      <c r="CA9" s="312" t="b">
        <f t="shared" si="37"/>
        <v>0</v>
      </c>
      <c r="CB9" s="312" t="b">
        <f t="shared" si="63"/>
        <v>0</v>
      </c>
      <c r="CC9" s="312" t="str">
        <f t="shared" si="38"/>
        <v>E</v>
      </c>
      <c r="CD9" s="312" t="str">
        <f t="shared" si="38"/>
        <v>M</v>
      </c>
      <c r="CE9" s="312" t="str">
        <f t="shared" si="38"/>
        <v>M</v>
      </c>
      <c r="CF9" s="312" t="b">
        <f t="shared" si="39"/>
        <v>0</v>
      </c>
      <c r="CG9" s="312">
        <f t="shared" si="40"/>
        <v>0</v>
      </c>
      <c r="CH9" s="312">
        <f t="shared" si="64"/>
        <v>0</v>
      </c>
      <c r="CI9" s="312">
        <v>15</v>
      </c>
      <c r="CK9" s="312" t="str">
        <f t="shared" si="69"/>
        <v>INK organisatiegebieden</v>
      </c>
      <c r="CL9" s="312">
        <f t="shared" si="41"/>
        <v>34</v>
      </c>
      <c r="CM9" s="312">
        <f t="shared" si="65"/>
        <v>4</v>
      </c>
      <c r="CN9" s="312">
        <f t="shared" si="66"/>
        <v>3</v>
      </c>
      <c r="CO9" s="312">
        <f t="shared" si="67"/>
        <v>4</v>
      </c>
    </row>
    <row r="10" spans="1:93" ht="15.75" thickBot="1">
      <c r="A10" s="370"/>
      <c r="B10" s="371"/>
      <c r="C10" s="385"/>
      <c r="D10" s="337"/>
      <c r="E10" s="469" t="s">
        <v>19</v>
      </c>
      <c r="F10" s="470" t="s">
        <v>228</v>
      </c>
      <c r="G10" s="471" t="s">
        <v>226</v>
      </c>
      <c r="H10" s="506" t="str">
        <f t="shared" si="42"/>
        <v>E</v>
      </c>
      <c r="I10" s="507" t="str">
        <f t="shared" si="43"/>
        <v>G</v>
      </c>
      <c r="J10" s="508" t="str">
        <f t="shared" si="44"/>
        <v>G</v>
      </c>
      <c r="K10" s="386" t="s">
        <v>216</v>
      </c>
      <c r="L10" s="27"/>
      <c r="M10" s="386"/>
      <c r="N10" s="386"/>
      <c r="O10" s="387"/>
      <c r="P10" s="388"/>
      <c r="Q10" s="389"/>
      <c r="R10" s="388">
        <f t="shared" si="45"/>
        <v>0</v>
      </c>
      <c r="S10" s="389">
        <f t="shared" si="46"/>
        <v>10</v>
      </c>
      <c r="T10" s="679"/>
      <c r="U10" s="680"/>
      <c r="V10" s="388">
        <f>IF(P10="x",1,0)</f>
        <v>0</v>
      </c>
      <c r="W10" s="366">
        <f t="shared" si="48"/>
        <v>0</v>
      </c>
      <c r="X10" s="367" t="str">
        <f t="shared" si="49"/>
        <v/>
      </c>
      <c r="Y10" s="366">
        <f t="shared" si="50"/>
        <v>0</v>
      </c>
      <c r="Z10" s="368" t="str">
        <f t="shared" si="51"/>
        <v>De vraag moet ingevuld worden.</v>
      </c>
      <c r="AA10" s="369">
        <f t="shared" si="68"/>
        <v>5</v>
      </c>
      <c r="AB10" s="316">
        <f t="shared" si="0"/>
        <v>2</v>
      </c>
      <c r="AC10" s="316" t="str">
        <f t="shared" si="1"/>
        <v>Wat is de missie en visie van de organisatie, hoe verwezenlijkt u deze strategie?</v>
      </c>
      <c r="AD10" s="316" t="str">
        <f t="shared" si="52"/>
        <v>2 Wat is de missie en visie van de organisatie, hoe verwezenlijkt u deze strategie?</v>
      </c>
      <c r="AE10" s="316" t="str">
        <f t="shared" si="2"/>
        <v>c Gestructureerde ontwikkeling missie, visie en strategie</v>
      </c>
      <c r="AF10" s="316" t="str">
        <f t="shared" si="3"/>
        <v>2c</v>
      </c>
      <c r="AG10" s="316">
        <f t="shared" si="53"/>
        <v>0</v>
      </c>
      <c r="AH10" s="316">
        <f t="shared" si="4"/>
        <v>0</v>
      </c>
      <c r="AI10" s="316">
        <f t="shared" si="4"/>
        <v>0</v>
      </c>
      <c r="AJ10" s="316">
        <f t="shared" si="4"/>
        <v>0</v>
      </c>
      <c r="AK10" s="316">
        <f t="shared" si="54"/>
        <v>0</v>
      </c>
      <c r="AL10" s="316" t="e">
        <f t="shared" si="5"/>
        <v>#N/A</v>
      </c>
      <c r="AM10" s="316">
        <f t="shared" si="55"/>
        <v>0</v>
      </c>
      <c r="AN10" s="316">
        <f t="shared" si="56"/>
        <v>0</v>
      </c>
      <c r="AO10" s="312" t="str">
        <f t="shared" si="6"/>
        <v/>
      </c>
      <c r="AP10" s="312">
        <f t="shared" si="7"/>
        <v>0</v>
      </c>
      <c r="AQ10" s="312">
        <f t="shared" si="57"/>
        <v>0</v>
      </c>
      <c r="AR10" s="312" t="b">
        <f t="shared" si="8"/>
        <v>0</v>
      </c>
      <c r="AS10" s="312" t="b">
        <f t="shared" si="9"/>
        <v>1</v>
      </c>
      <c r="AT10" s="312" t="b">
        <f t="shared" si="10"/>
        <v>0</v>
      </c>
      <c r="AU10" s="312" t="b">
        <f t="shared" si="11"/>
        <v>0</v>
      </c>
      <c r="AV10" s="312" t="b">
        <f t="shared" si="12"/>
        <v>1</v>
      </c>
      <c r="AW10" s="312" t="b">
        <f t="shared" si="13"/>
        <v>0</v>
      </c>
      <c r="AX10" s="312">
        <f t="shared" si="14"/>
        <v>0</v>
      </c>
      <c r="AY10" s="312">
        <f t="shared" si="15"/>
        <v>10</v>
      </c>
      <c r="AZ10" s="312" t="b">
        <f t="shared" si="58"/>
        <v>0</v>
      </c>
      <c r="BA10" s="312" t="b">
        <f t="shared" si="59"/>
        <v>0</v>
      </c>
      <c r="BB10" s="312" t="b">
        <f t="shared" si="16"/>
        <v>0</v>
      </c>
      <c r="BC10" s="312" t="b">
        <f t="shared" si="17"/>
        <v>0</v>
      </c>
      <c r="BD10" s="312">
        <v>1</v>
      </c>
      <c r="BE10" s="312" t="b">
        <f t="shared" si="18"/>
        <v>0</v>
      </c>
      <c r="BF10" s="312" t="b">
        <f t="shared" si="19"/>
        <v>1</v>
      </c>
      <c r="BG10" s="312" t="b">
        <f t="shared" si="20"/>
        <v>0</v>
      </c>
      <c r="BH10" s="312" t="b">
        <f t="shared" si="21"/>
        <v>0</v>
      </c>
      <c r="BI10" s="312" t="b">
        <f t="shared" si="22"/>
        <v>1</v>
      </c>
      <c r="BJ10" s="312" t="b">
        <f t="shared" si="23"/>
        <v>0</v>
      </c>
      <c r="BK10" s="312" t="b">
        <f t="shared" si="24"/>
        <v>0</v>
      </c>
      <c r="BL10" s="312" t="b">
        <f t="shared" si="60"/>
        <v>0</v>
      </c>
      <c r="BM10" s="312" t="b">
        <f t="shared" si="25"/>
        <v>0</v>
      </c>
      <c r="BN10" s="312" t="b">
        <f t="shared" si="26"/>
        <v>1</v>
      </c>
      <c r="BO10" s="312" t="b">
        <f t="shared" si="27"/>
        <v>0</v>
      </c>
      <c r="BP10" s="312" t="str">
        <f t="shared" si="28"/>
        <v>De vraag moet ingevuld worden.</v>
      </c>
      <c r="BQ10" s="312" t="str">
        <f t="shared" si="29"/>
        <v/>
      </c>
      <c r="BR10" s="312" t="str">
        <f t="shared" si="30"/>
        <v>Deze vraag moet minimaal antwoord 2, 3 of 4 hebben.</v>
      </c>
      <c r="BS10" s="312" t="str">
        <f t="shared" si="31"/>
        <v/>
      </c>
      <c r="BT10" s="312" t="str">
        <f t="shared" si="32"/>
        <v/>
      </c>
      <c r="BU10" s="312" t="str">
        <f t="shared" si="33"/>
        <v/>
      </c>
      <c r="BV10" s="312" t="str">
        <f t="shared" si="61"/>
        <v>De vraag moet ingevuld worden.</v>
      </c>
      <c r="BW10" s="312" t="str">
        <f t="shared" si="34"/>
        <v/>
      </c>
      <c r="BX10" s="312" t="str">
        <f t="shared" si="35"/>
        <v/>
      </c>
      <c r="BY10" s="312" t="str">
        <f t="shared" si="36"/>
        <v/>
      </c>
      <c r="BZ10" s="312" t="b">
        <f t="shared" si="62"/>
        <v>1</v>
      </c>
      <c r="CA10" s="312" t="b">
        <f t="shared" si="37"/>
        <v>0</v>
      </c>
      <c r="CB10" s="312" t="b">
        <f t="shared" si="63"/>
        <v>0</v>
      </c>
      <c r="CC10" s="312" t="str">
        <f t="shared" si="38"/>
        <v>E</v>
      </c>
      <c r="CD10" s="312" t="str">
        <f t="shared" si="38"/>
        <v>G</v>
      </c>
      <c r="CE10" s="312" t="str">
        <f t="shared" si="38"/>
        <v>G</v>
      </c>
      <c r="CF10" s="312" t="b">
        <f t="shared" si="39"/>
        <v>0</v>
      </c>
      <c r="CG10" s="312">
        <f t="shared" si="40"/>
        <v>0</v>
      </c>
      <c r="CH10" s="312">
        <f t="shared" si="64"/>
        <v>0</v>
      </c>
      <c r="CJ10" s="312">
        <v>10</v>
      </c>
      <c r="CK10" s="312" t="str">
        <f t="shared" si="69"/>
        <v>INK organisatiegebieden</v>
      </c>
      <c r="CL10" s="312">
        <f t="shared" si="41"/>
        <v>234</v>
      </c>
      <c r="CM10" s="312">
        <f t="shared" si="65"/>
        <v>4</v>
      </c>
      <c r="CN10" s="312">
        <f t="shared" si="66"/>
        <v>2</v>
      </c>
      <c r="CO10" s="312">
        <f t="shared" si="67"/>
        <v>4</v>
      </c>
    </row>
    <row r="11" spans="1:93" ht="15">
      <c r="A11" s="325"/>
      <c r="B11" s="360" t="s">
        <v>229</v>
      </c>
      <c r="C11" s="390">
        <v>3</v>
      </c>
      <c r="D11" s="681" t="s">
        <v>605</v>
      </c>
      <c r="E11" s="463" t="s">
        <v>17</v>
      </c>
      <c r="F11" s="461" t="s">
        <v>231</v>
      </c>
      <c r="G11" s="462" t="s">
        <v>232</v>
      </c>
      <c r="H11" s="500" t="str">
        <f t="shared" si="42"/>
        <v>E</v>
      </c>
      <c r="I11" s="501" t="str">
        <f t="shared" si="43"/>
        <v>G</v>
      </c>
      <c r="J11" s="502" t="str">
        <f t="shared" si="44"/>
        <v>G</v>
      </c>
      <c r="K11" s="377" t="s">
        <v>215</v>
      </c>
      <c r="L11" s="25"/>
      <c r="M11" s="377"/>
      <c r="N11" s="377"/>
      <c r="O11" s="378"/>
      <c r="P11" s="379"/>
      <c r="Q11" s="380"/>
      <c r="R11" s="379">
        <f t="shared" si="45"/>
        <v>30</v>
      </c>
      <c r="S11" s="380">
        <f t="shared" si="46"/>
        <v>0</v>
      </c>
      <c r="T11" s="673">
        <f>SUMIF($AV11:$AV12,TRUE,R11:R12)</f>
        <v>30</v>
      </c>
      <c r="U11" s="683">
        <f>SUMIF($AV11:$AV12,TRUE,S11:S12)</f>
        <v>10</v>
      </c>
      <c r="V11" s="379">
        <f>IF(P11="x",1,0)</f>
        <v>0</v>
      </c>
      <c r="W11" s="366">
        <f t="shared" si="48"/>
        <v>0</v>
      </c>
      <c r="X11" s="367">
        <f t="shared" si="49"/>
        <v>0</v>
      </c>
      <c r="Y11" s="366" t="str">
        <f t="shared" si="50"/>
        <v/>
      </c>
      <c r="Z11" s="368" t="str">
        <f t="shared" si="51"/>
        <v>De vraag moet ingevuld worden.</v>
      </c>
      <c r="AA11" s="369">
        <f t="shared" si="68"/>
        <v>6</v>
      </c>
      <c r="AB11" s="316">
        <f t="shared" si="0"/>
        <v>3</v>
      </c>
      <c r="AC11" s="316" t="str">
        <f t="shared" si="1"/>
        <v>Hoe weten uw medewerkers wat van hen wordt verwacht in kader van RGS?</v>
      </c>
      <c r="AD11" s="316" t="str">
        <f t="shared" si="52"/>
        <v>3 Hoe weten uw medewerkers wat van hen wordt verwacht in kader van RGS?</v>
      </c>
      <c r="AE11" s="316" t="str">
        <f t="shared" si="2"/>
        <v>a Functie, beoordeling en opleiding</v>
      </c>
      <c r="AF11" s="316" t="str">
        <f t="shared" si="3"/>
        <v>3a</v>
      </c>
      <c r="AG11" s="316">
        <f t="shared" si="53"/>
        <v>0</v>
      </c>
      <c r="AH11" s="316">
        <f t="shared" si="4"/>
        <v>0</v>
      </c>
      <c r="AI11" s="316">
        <f t="shared" si="4"/>
        <v>0</v>
      </c>
      <c r="AJ11" s="316">
        <f t="shared" si="4"/>
        <v>0</v>
      </c>
      <c r="AK11" s="316">
        <f t="shared" si="54"/>
        <v>0</v>
      </c>
      <c r="AL11" s="316" t="e">
        <f t="shared" si="5"/>
        <v>#N/A</v>
      </c>
      <c r="AM11" s="316">
        <f t="shared" si="55"/>
        <v>0</v>
      </c>
      <c r="AN11" s="316">
        <f t="shared" si="56"/>
        <v>30</v>
      </c>
      <c r="AO11" s="312">
        <f t="shared" si="6"/>
        <v>0</v>
      </c>
      <c r="AP11" s="312" t="str">
        <f t="shared" si="7"/>
        <v/>
      </c>
      <c r="AQ11" s="312">
        <f t="shared" si="57"/>
        <v>0</v>
      </c>
      <c r="AR11" s="312" t="b">
        <f t="shared" si="8"/>
        <v>0</v>
      </c>
      <c r="AS11" s="312" t="b">
        <f t="shared" si="9"/>
        <v>1</v>
      </c>
      <c r="AT11" s="312" t="b">
        <f t="shared" si="10"/>
        <v>0</v>
      </c>
      <c r="AU11" s="312" t="b">
        <f t="shared" si="11"/>
        <v>0</v>
      </c>
      <c r="AV11" s="312" t="b">
        <f t="shared" si="12"/>
        <v>1</v>
      </c>
      <c r="AW11" s="312" t="b">
        <f t="shared" si="13"/>
        <v>0</v>
      </c>
      <c r="AX11" s="312">
        <f t="shared" si="14"/>
        <v>30</v>
      </c>
      <c r="AY11" s="312">
        <f t="shared" si="15"/>
        <v>0</v>
      </c>
      <c r="AZ11" s="312" t="b">
        <f t="shared" si="58"/>
        <v>0</v>
      </c>
      <c r="BA11" s="312" t="b">
        <f t="shared" si="59"/>
        <v>0</v>
      </c>
      <c r="BB11" s="312" t="b">
        <f t="shared" si="16"/>
        <v>0</v>
      </c>
      <c r="BC11" s="312" t="b">
        <f t="shared" si="17"/>
        <v>0</v>
      </c>
      <c r="BD11" s="312">
        <v>1</v>
      </c>
      <c r="BE11" s="312" t="b">
        <f t="shared" si="18"/>
        <v>0</v>
      </c>
      <c r="BF11" s="312" t="b">
        <f t="shared" si="19"/>
        <v>1</v>
      </c>
      <c r="BG11" s="312" t="b">
        <f t="shared" si="20"/>
        <v>0</v>
      </c>
      <c r="BH11" s="312" t="b">
        <f t="shared" si="21"/>
        <v>0</v>
      </c>
      <c r="BI11" s="312" t="b">
        <f t="shared" si="22"/>
        <v>1</v>
      </c>
      <c r="BJ11" s="312" t="b">
        <f t="shared" si="23"/>
        <v>0</v>
      </c>
      <c r="BK11" s="312" t="b">
        <f t="shared" si="24"/>
        <v>0</v>
      </c>
      <c r="BL11" s="312" t="b">
        <f t="shared" si="60"/>
        <v>0</v>
      </c>
      <c r="BM11" s="312" t="b">
        <f t="shared" si="25"/>
        <v>1</v>
      </c>
      <c r="BN11" s="312" t="b">
        <f t="shared" si="26"/>
        <v>0</v>
      </c>
      <c r="BO11" s="312" t="b">
        <f t="shared" si="27"/>
        <v>0</v>
      </c>
      <c r="BP11" s="312" t="str">
        <f t="shared" si="28"/>
        <v>De vraag moet ingevuld worden.</v>
      </c>
      <c r="BQ11" s="312" t="str">
        <f t="shared" si="29"/>
        <v/>
      </c>
      <c r="BR11" s="312" t="str">
        <f t="shared" si="30"/>
        <v>Deze vraag moet minimaal antwoord 2, 3 of 4 hebben.</v>
      </c>
      <c r="BS11" s="312" t="str">
        <f t="shared" si="31"/>
        <v/>
      </c>
      <c r="BT11" s="312" t="str">
        <f t="shared" si="32"/>
        <v/>
      </c>
      <c r="BU11" s="312" t="str">
        <f t="shared" si="33"/>
        <v/>
      </c>
      <c r="BV11" s="312" t="str">
        <f t="shared" si="61"/>
        <v>De vraag moet ingevuld worden.</v>
      </c>
      <c r="BW11" s="312" t="str">
        <f t="shared" si="34"/>
        <v/>
      </c>
      <c r="BX11" s="312" t="str">
        <f t="shared" si="35"/>
        <v/>
      </c>
      <c r="BY11" s="312" t="str">
        <f t="shared" si="36"/>
        <v/>
      </c>
      <c r="BZ11" s="312" t="b">
        <f t="shared" si="62"/>
        <v>1</v>
      </c>
      <c r="CA11" s="312" t="b">
        <f t="shared" si="37"/>
        <v>0</v>
      </c>
      <c r="CB11" s="312" t="b">
        <f t="shared" si="63"/>
        <v>0</v>
      </c>
      <c r="CC11" s="312" t="str">
        <f t="shared" si="38"/>
        <v>E</v>
      </c>
      <c r="CD11" s="312" t="str">
        <f t="shared" si="38"/>
        <v>G</v>
      </c>
      <c r="CE11" s="312" t="str">
        <f t="shared" si="38"/>
        <v>G</v>
      </c>
      <c r="CF11" s="312" t="b">
        <f t="shared" si="39"/>
        <v>0</v>
      </c>
      <c r="CG11" s="312">
        <f t="shared" si="40"/>
        <v>0</v>
      </c>
      <c r="CH11" s="312">
        <f t="shared" si="64"/>
        <v>0</v>
      </c>
      <c r="CI11" s="312">
        <v>30</v>
      </c>
      <c r="CK11" s="312" t="str">
        <f t="shared" si="69"/>
        <v>INK organisatiegebieden</v>
      </c>
      <c r="CL11" s="312">
        <f t="shared" si="41"/>
        <v>234</v>
      </c>
      <c r="CM11" s="312">
        <f t="shared" si="65"/>
        <v>4</v>
      </c>
      <c r="CN11" s="312">
        <f t="shared" si="66"/>
        <v>2</v>
      </c>
      <c r="CO11" s="312">
        <f t="shared" si="67"/>
        <v>4</v>
      </c>
    </row>
    <row r="12" spans="1:93" ht="15.75" thickBot="1">
      <c r="A12" s="334"/>
      <c r="B12" s="335"/>
      <c r="C12" s="391"/>
      <c r="D12" s="682"/>
      <c r="E12" s="472" t="s">
        <v>18</v>
      </c>
      <c r="F12" s="470" t="s">
        <v>233</v>
      </c>
      <c r="G12" s="471" t="s">
        <v>226</v>
      </c>
      <c r="H12" s="509" t="str">
        <f t="shared" si="42"/>
        <v>E</v>
      </c>
      <c r="I12" s="510" t="str">
        <f t="shared" si="43"/>
        <v>G</v>
      </c>
      <c r="J12" s="511" t="str">
        <f t="shared" si="44"/>
        <v>G</v>
      </c>
      <c r="K12" s="392" t="s">
        <v>216</v>
      </c>
      <c r="L12" s="28"/>
      <c r="M12" s="392"/>
      <c r="N12" s="392"/>
      <c r="O12" s="393"/>
      <c r="P12" s="394"/>
      <c r="Q12" s="395"/>
      <c r="R12" s="394">
        <f t="shared" si="45"/>
        <v>0</v>
      </c>
      <c r="S12" s="395">
        <f t="shared" si="46"/>
        <v>10</v>
      </c>
      <c r="T12" s="679"/>
      <c r="U12" s="684"/>
      <c r="V12" s="394"/>
      <c r="W12" s="395"/>
      <c r="X12" s="367" t="str">
        <f t="shared" si="49"/>
        <v/>
      </c>
      <c r="Y12" s="366">
        <f t="shared" si="50"/>
        <v>0</v>
      </c>
      <c r="Z12" s="368" t="str">
        <f t="shared" si="51"/>
        <v>De vraag moet ingevuld worden.</v>
      </c>
      <c r="AA12" s="369">
        <f t="shared" si="68"/>
        <v>7</v>
      </c>
      <c r="AB12" s="316">
        <f t="shared" si="0"/>
        <v>3</v>
      </c>
      <c r="AC12" s="316" t="str">
        <f t="shared" si="1"/>
        <v>Hoe weten uw medewerkers wat van hen wordt verwacht in kader van RGS?</v>
      </c>
      <c r="AD12" s="316" t="str">
        <f t="shared" si="52"/>
        <v>3 Hoe weten uw medewerkers wat van hen wordt verwacht in kader van RGS?</v>
      </c>
      <c r="AE12" s="316" t="str">
        <f t="shared" si="2"/>
        <v>b Personeelsmanagement</v>
      </c>
      <c r="AF12" s="316" t="str">
        <f t="shared" si="3"/>
        <v>3b</v>
      </c>
      <c r="AG12" s="316">
        <f t="shared" si="53"/>
        <v>0</v>
      </c>
      <c r="AH12" s="316">
        <f t="shared" si="4"/>
        <v>0</v>
      </c>
      <c r="AI12" s="316">
        <f t="shared" si="4"/>
        <v>0</v>
      </c>
      <c r="AJ12" s="316">
        <f t="shared" si="4"/>
        <v>0</v>
      </c>
      <c r="AK12" s="316">
        <f t="shared" si="54"/>
        <v>0</v>
      </c>
      <c r="AL12" s="316" t="e">
        <f t="shared" si="5"/>
        <v>#N/A</v>
      </c>
      <c r="AM12" s="316">
        <f t="shared" si="55"/>
        <v>0</v>
      </c>
      <c r="AN12" s="316">
        <f t="shared" si="56"/>
        <v>0</v>
      </c>
      <c r="AO12" s="312" t="str">
        <f t="shared" si="6"/>
        <v/>
      </c>
      <c r="AP12" s="312">
        <f t="shared" si="7"/>
        <v>0</v>
      </c>
      <c r="AQ12" s="312">
        <f t="shared" si="57"/>
        <v>0</v>
      </c>
      <c r="AR12" s="312" t="b">
        <f t="shared" si="8"/>
        <v>0</v>
      </c>
      <c r="AS12" s="312" t="b">
        <f t="shared" si="9"/>
        <v>1</v>
      </c>
      <c r="AT12" s="312" t="b">
        <f t="shared" si="10"/>
        <v>0</v>
      </c>
      <c r="AU12" s="312" t="b">
        <f t="shared" si="11"/>
        <v>0</v>
      </c>
      <c r="AV12" s="312" t="b">
        <f t="shared" si="12"/>
        <v>1</v>
      </c>
      <c r="AW12" s="312" t="b">
        <f t="shared" si="13"/>
        <v>0</v>
      </c>
      <c r="AX12" s="312">
        <f t="shared" si="14"/>
        <v>0</v>
      </c>
      <c r="AY12" s="312">
        <f t="shared" si="15"/>
        <v>10</v>
      </c>
      <c r="AZ12" s="312" t="b">
        <f t="shared" si="58"/>
        <v>0</v>
      </c>
      <c r="BA12" s="312" t="b">
        <f t="shared" si="59"/>
        <v>0</v>
      </c>
      <c r="BB12" s="312" t="b">
        <f t="shared" si="16"/>
        <v>0</v>
      </c>
      <c r="BC12" s="312" t="b">
        <f t="shared" si="17"/>
        <v>0</v>
      </c>
      <c r="BD12" s="312">
        <v>1</v>
      </c>
      <c r="BE12" s="312" t="b">
        <f t="shared" si="18"/>
        <v>0</v>
      </c>
      <c r="BF12" s="312" t="b">
        <f t="shared" si="19"/>
        <v>1</v>
      </c>
      <c r="BG12" s="312" t="b">
        <f t="shared" si="20"/>
        <v>0</v>
      </c>
      <c r="BH12" s="312" t="b">
        <f t="shared" si="21"/>
        <v>0</v>
      </c>
      <c r="BI12" s="312" t="b">
        <f t="shared" si="22"/>
        <v>1</v>
      </c>
      <c r="BJ12" s="312" t="b">
        <f t="shared" si="23"/>
        <v>0</v>
      </c>
      <c r="BK12" s="312" t="b">
        <f t="shared" si="24"/>
        <v>0</v>
      </c>
      <c r="BL12" s="312" t="b">
        <f t="shared" si="60"/>
        <v>0</v>
      </c>
      <c r="BM12" s="312" t="b">
        <f t="shared" si="25"/>
        <v>0</v>
      </c>
      <c r="BN12" s="312" t="b">
        <f t="shared" si="26"/>
        <v>1</v>
      </c>
      <c r="BO12" s="312" t="b">
        <f t="shared" si="27"/>
        <v>0</v>
      </c>
      <c r="BP12" s="312" t="str">
        <f t="shared" si="28"/>
        <v>De vraag moet ingevuld worden.</v>
      </c>
      <c r="BQ12" s="312" t="str">
        <f t="shared" si="29"/>
        <v/>
      </c>
      <c r="BR12" s="312" t="str">
        <f t="shared" si="30"/>
        <v>Deze vraag moet minimaal antwoord 2, 3 of 4 hebben.</v>
      </c>
      <c r="BS12" s="312" t="str">
        <f t="shared" si="31"/>
        <v/>
      </c>
      <c r="BT12" s="312" t="str">
        <f t="shared" si="32"/>
        <v/>
      </c>
      <c r="BU12" s="312" t="str">
        <f t="shared" si="33"/>
        <v/>
      </c>
      <c r="BV12" s="312" t="str">
        <f t="shared" si="61"/>
        <v>De vraag moet ingevuld worden.</v>
      </c>
      <c r="BW12" s="312" t="str">
        <f t="shared" si="34"/>
        <v/>
      </c>
      <c r="BX12" s="312" t="str">
        <f t="shared" si="35"/>
        <v/>
      </c>
      <c r="BY12" s="312" t="str">
        <f t="shared" si="36"/>
        <v/>
      </c>
      <c r="BZ12" s="312" t="b">
        <f t="shared" si="62"/>
        <v>1</v>
      </c>
      <c r="CA12" s="312" t="b">
        <f t="shared" si="37"/>
        <v>0</v>
      </c>
      <c r="CB12" s="312" t="b">
        <f t="shared" si="63"/>
        <v>0</v>
      </c>
      <c r="CC12" s="312" t="str">
        <f t="shared" si="38"/>
        <v>E</v>
      </c>
      <c r="CD12" s="312" t="str">
        <f t="shared" si="38"/>
        <v>G</v>
      </c>
      <c r="CE12" s="312" t="str">
        <f t="shared" si="38"/>
        <v>G</v>
      </c>
      <c r="CF12" s="312" t="b">
        <f t="shared" si="39"/>
        <v>0</v>
      </c>
      <c r="CG12" s="312">
        <f t="shared" si="40"/>
        <v>0</v>
      </c>
      <c r="CH12" s="312">
        <f t="shared" si="64"/>
        <v>0</v>
      </c>
      <c r="CJ12" s="312">
        <v>10</v>
      </c>
      <c r="CK12" s="312" t="str">
        <f t="shared" si="69"/>
        <v>INK organisatiegebieden</v>
      </c>
      <c r="CL12" s="312">
        <f t="shared" si="41"/>
        <v>234</v>
      </c>
      <c r="CM12" s="312">
        <f t="shared" si="65"/>
        <v>4</v>
      </c>
      <c r="CN12" s="312">
        <f t="shared" si="66"/>
        <v>2</v>
      </c>
      <c r="CO12" s="312">
        <f t="shared" si="67"/>
        <v>4</v>
      </c>
    </row>
    <row r="13" spans="1:93" ht="15.75" thickBot="1">
      <c r="A13" s="325"/>
      <c r="B13" s="396" t="s">
        <v>234</v>
      </c>
      <c r="C13" s="376">
        <v>4</v>
      </c>
      <c r="D13" s="677" t="s">
        <v>625</v>
      </c>
      <c r="E13" s="463" t="s">
        <v>17</v>
      </c>
      <c r="F13" s="464" t="s">
        <v>236</v>
      </c>
      <c r="G13" s="465" t="s">
        <v>237</v>
      </c>
      <c r="H13" s="500" t="str">
        <f t="shared" si="42"/>
        <v>E</v>
      </c>
      <c r="I13" s="501" t="str">
        <f t="shared" si="43"/>
        <v>G</v>
      </c>
      <c r="J13" s="502" t="str">
        <f t="shared" si="44"/>
        <v>G</v>
      </c>
      <c r="K13" s="377" t="s">
        <v>215</v>
      </c>
      <c r="L13" s="25"/>
      <c r="M13" s="377"/>
      <c r="N13" s="377"/>
      <c r="O13" s="378"/>
      <c r="P13" s="379"/>
      <c r="Q13" s="380"/>
      <c r="R13" s="379">
        <f t="shared" si="45"/>
        <v>10</v>
      </c>
      <c r="S13" s="380">
        <f t="shared" si="46"/>
        <v>0</v>
      </c>
      <c r="T13" s="673">
        <f>SUMIF($AV13:$AV15,TRUE,R13:R15)</f>
        <v>20</v>
      </c>
      <c r="U13" s="675">
        <f>SUMIF($AV13:$AV15,TRUE,S13:S15)</f>
        <v>10</v>
      </c>
      <c r="V13" s="379">
        <f aca="true" t="shared" si="70" ref="V13:V28">IF(P13="x",1,0)</f>
        <v>0</v>
      </c>
      <c r="W13" s="380">
        <f>IF(Q13="x",1,0)</f>
        <v>0</v>
      </c>
      <c r="X13" s="367">
        <f t="shared" si="49"/>
        <v>0</v>
      </c>
      <c r="Y13" s="366" t="str">
        <f t="shared" si="50"/>
        <v/>
      </c>
      <c r="Z13" s="368" t="str">
        <f t="shared" si="51"/>
        <v>De vraag moet ingevuld worden.</v>
      </c>
      <c r="AA13" s="369">
        <f t="shared" si="68"/>
        <v>8</v>
      </c>
      <c r="AB13" s="316">
        <f t="shared" si="0"/>
        <v>4</v>
      </c>
      <c r="AC13" s="316" t="str">
        <f t="shared" si="1"/>
        <v xml:space="preserve">Welke middelen ondersteunen het RGS proces? (geld, kennis, technologie, materialen, diensten, normen, BRL's , richtlijnen, etc.) </v>
      </c>
      <c r="AD13" s="316" t="str">
        <f t="shared" si="52"/>
        <v xml:space="preserve">4 Welke middelen ondersteunen het RGS proces? (geld, kennis, technologie, materialen, diensten, normen, BRL's , richtlijnen, etc.) </v>
      </c>
      <c r="AE13" s="316" t="str">
        <f t="shared" si="2"/>
        <v>a Technologie</v>
      </c>
      <c r="AF13" s="316" t="str">
        <f t="shared" si="3"/>
        <v>4a</v>
      </c>
      <c r="AG13" s="316">
        <f t="shared" si="53"/>
        <v>0</v>
      </c>
      <c r="AH13" s="316">
        <f t="shared" si="4"/>
        <v>0</v>
      </c>
      <c r="AI13" s="316">
        <f t="shared" si="4"/>
        <v>0</v>
      </c>
      <c r="AJ13" s="316">
        <f t="shared" si="4"/>
        <v>0</v>
      </c>
      <c r="AK13" s="316">
        <f t="shared" si="54"/>
        <v>0</v>
      </c>
      <c r="AL13" s="316" t="e">
        <f t="shared" si="5"/>
        <v>#N/A</v>
      </c>
      <c r="AM13" s="316">
        <f t="shared" si="55"/>
        <v>0</v>
      </c>
      <c r="AN13" s="316">
        <f t="shared" si="56"/>
        <v>10</v>
      </c>
      <c r="AO13" s="312">
        <f t="shared" si="6"/>
        <v>0</v>
      </c>
      <c r="AP13" s="312" t="str">
        <f t="shared" si="7"/>
        <v/>
      </c>
      <c r="AQ13" s="312">
        <f t="shared" si="57"/>
        <v>0</v>
      </c>
      <c r="AR13" s="312" t="b">
        <f t="shared" si="8"/>
        <v>0</v>
      </c>
      <c r="AS13" s="312" t="b">
        <f t="shared" si="9"/>
        <v>1</v>
      </c>
      <c r="AT13" s="312" t="b">
        <f t="shared" si="10"/>
        <v>0</v>
      </c>
      <c r="AU13" s="312" t="b">
        <f t="shared" si="11"/>
        <v>0</v>
      </c>
      <c r="AV13" s="312" t="b">
        <f t="shared" si="12"/>
        <v>1</v>
      </c>
      <c r="AW13" s="312" t="b">
        <f t="shared" si="13"/>
        <v>0</v>
      </c>
      <c r="AX13" s="312">
        <f t="shared" si="14"/>
        <v>10</v>
      </c>
      <c r="AY13" s="312">
        <f t="shared" si="15"/>
        <v>0</v>
      </c>
      <c r="AZ13" s="312" t="b">
        <f t="shared" si="58"/>
        <v>0</v>
      </c>
      <c r="BA13" s="312" t="b">
        <f t="shared" si="59"/>
        <v>0</v>
      </c>
      <c r="BB13" s="312" t="b">
        <f t="shared" si="16"/>
        <v>0</v>
      </c>
      <c r="BC13" s="312" t="b">
        <f t="shared" si="17"/>
        <v>0</v>
      </c>
      <c r="BD13" s="312">
        <v>1</v>
      </c>
      <c r="BE13" s="312" t="b">
        <f t="shared" si="18"/>
        <v>0</v>
      </c>
      <c r="BF13" s="312" t="b">
        <f t="shared" si="19"/>
        <v>1</v>
      </c>
      <c r="BG13" s="312" t="b">
        <f t="shared" si="20"/>
        <v>0</v>
      </c>
      <c r="BH13" s="312" t="b">
        <f t="shared" si="21"/>
        <v>0</v>
      </c>
      <c r="BI13" s="312" t="b">
        <f t="shared" si="22"/>
        <v>1</v>
      </c>
      <c r="BJ13" s="312" t="b">
        <f t="shared" si="23"/>
        <v>0</v>
      </c>
      <c r="BK13" s="312" t="b">
        <f t="shared" si="24"/>
        <v>0</v>
      </c>
      <c r="BL13" s="312" t="b">
        <f t="shared" si="60"/>
        <v>0</v>
      </c>
      <c r="BM13" s="312" t="b">
        <f t="shared" si="25"/>
        <v>1</v>
      </c>
      <c r="BN13" s="312" t="b">
        <f t="shared" si="26"/>
        <v>0</v>
      </c>
      <c r="BO13" s="312" t="b">
        <f t="shared" si="27"/>
        <v>0</v>
      </c>
      <c r="BP13" s="312" t="str">
        <f t="shared" si="28"/>
        <v>De vraag moet ingevuld worden.</v>
      </c>
      <c r="BQ13" s="312" t="str">
        <f t="shared" si="29"/>
        <v/>
      </c>
      <c r="BR13" s="312" t="str">
        <f t="shared" si="30"/>
        <v>Deze vraag moet minimaal antwoord 2, 3 of 4 hebben.</v>
      </c>
      <c r="BS13" s="312" t="str">
        <f t="shared" si="31"/>
        <v/>
      </c>
      <c r="BT13" s="312" t="str">
        <f t="shared" si="32"/>
        <v/>
      </c>
      <c r="BU13" s="312" t="str">
        <f t="shared" si="33"/>
        <v/>
      </c>
      <c r="BV13" s="312" t="str">
        <f t="shared" si="61"/>
        <v>De vraag moet ingevuld worden.</v>
      </c>
      <c r="BW13" s="312" t="str">
        <f t="shared" si="34"/>
        <v/>
      </c>
      <c r="BX13" s="312" t="str">
        <f t="shared" si="35"/>
        <v/>
      </c>
      <c r="BY13" s="312" t="str">
        <f t="shared" si="36"/>
        <v/>
      </c>
      <c r="BZ13" s="312" t="b">
        <f t="shared" si="62"/>
        <v>1</v>
      </c>
      <c r="CA13" s="312" t="b">
        <f t="shared" si="37"/>
        <v>0</v>
      </c>
      <c r="CB13" s="312" t="b">
        <f t="shared" si="63"/>
        <v>0</v>
      </c>
      <c r="CC13" s="312" t="str">
        <f t="shared" si="38"/>
        <v>E</v>
      </c>
      <c r="CD13" s="312" t="str">
        <f t="shared" si="38"/>
        <v>G</v>
      </c>
      <c r="CE13" s="312" t="str">
        <f t="shared" si="38"/>
        <v>G</v>
      </c>
      <c r="CF13" s="312" t="b">
        <f t="shared" si="39"/>
        <v>0</v>
      </c>
      <c r="CG13" s="312">
        <f t="shared" si="40"/>
        <v>0</v>
      </c>
      <c r="CH13" s="312">
        <f t="shared" si="64"/>
        <v>0</v>
      </c>
      <c r="CI13" s="312">
        <v>10</v>
      </c>
      <c r="CK13" s="312" t="str">
        <f t="shared" si="69"/>
        <v>INK organisatiegebieden</v>
      </c>
      <c r="CL13" s="312">
        <f t="shared" si="41"/>
        <v>234</v>
      </c>
      <c r="CM13" s="312">
        <f t="shared" si="65"/>
        <v>4</v>
      </c>
      <c r="CN13" s="312">
        <f t="shared" si="66"/>
        <v>2</v>
      </c>
      <c r="CO13" s="312">
        <f t="shared" si="67"/>
        <v>4</v>
      </c>
    </row>
    <row r="14" spans="1:93" ht="30">
      <c r="A14" s="370"/>
      <c r="B14" s="371"/>
      <c r="C14" s="381"/>
      <c r="D14" s="678"/>
      <c r="E14" s="466" t="s">
        <v>18</v>
      </c>
      <c r="F14" s="467" t="s">
        <v>238</v>
      </c>
      <c r="G14" s="468" t="s">
        <v>239</v>
      </c>
      <c r="H14" s="503" t="str">
        <f t="shared" si="42"/>
        <v>E</v>
      </c>
      <c r="I14" s="504" t="str">
        <f t="shared" si="43"/>
        <v>G</v>
      </c>
      <c r="J14" s="505" t="str">
        <f t="shared" si="44"/>
        <v>G</v>
      </c>
      <c r="K14" s="382" t="s">
        <v>215</v>
      </c>
      <c r="L14" s="26"/>
      <c r="M14" s="382"/>
      <c r="N14" s="382"/>
      <c r="O14" s="383"/>
      <c r="P14" s="375"/>
      <c r="Q14" s="384"/>
      <c r="R14" s="375">
        <f t="shared" si="45"/>
        <v>10</v>
      </c>
      <c r="S14" s="384">
        <f t="shared" si="46"/>
        <v>0</v>
      </c>
      <c r="T14" s="674"/>
      <c r="U14" s="676"/>
      <c r="V14" s="375">
        <f t="shared" si="70"/>
        <v>0</v>
      </c>
      <c r="W14" s="380">
        <f>IF(Q14="x",1,0)</f>
        <v>0</v>
      </c>
      <c r="X14" s="367">
        <f t="shared" si="49"/>
        <v>0</v>
      </c>
      <c r="Y14" s="366" t="str">
        <f t="shared" si="50"/>
        <v/>
      </c>
      <c r="Z14" s="368" t="str">
        <f t="shared" si="51"/>
        <v>De vraag moet ingevuld worden.</v>
      </c>
      <c r="AA14" s="369">
        <f t="shared" si="68"/>
        <v>9</v>
      </c>
      <c r="AB14" s="316">
        <f t="shared" si="0"/>
        <v>4</v>
      </c>
      <c r="AC14" s="316" t="str">
        <f t="shared" si="1"/>
        <v xml:space="preserve">Welke middelen ondersteunen het RGS proces? (geld, kennis, technologie, materialen, diensten, normen, BRL's , richtlijnen, etc.) </v>
      </c>
      <c r="AD14" s="316" t="str">
        <f t="shared" si="52"/>
        <v xml:space="preserve">4 Welke middelen ondersteunen het RGS proces? (geld, kennis, technologie, materialen, diensten, normen, BRL's , richtlijnen, etc.) </v>
      </c>
      <c r="AE14" s="316" t="str">
        <f t="shared" si="2"/>
        <v>b Tevredenheidsonderzoeken en beoordelingen</v>
      </c>
      <c r="AF14" s="316" t="str">
        <f t="shared" si="3"/>
        <v>4b</v>
      </c>
      <c r="AG14" s="316">
        <f t="shared" si="53"/>
        <v>0</v>
      </c>
      <c r="AH14" s="316">
        <f t="shared" si="4"/>
        <v>0</v>
      </c>
      <c r="AI14" s="316">
        <f t="shared" si="4"/>
        <v>0</v>
      </c>
      <c r="AJ14" s="316">
        <f t="shared" si="4"/>
        <v>0</v>
      </c>
      <c r="AK14" s="316">
        <f t="shared" si="54"/>
        <v>0</v>
      </c>
      <c r="AL14" s="316" t="e">
        <f t="shared" si="5"/>
        <v>#N/A</v>
      </c>
      <c r="AM14" s="316">
        <f t="shared" si="55"/>
        <v>0</v>
      </c>
      <c r="AN14" s="316">
        <f t="shared" si="56"/>
        <v>10</v>
      </c>
      <c r="AO14" s="312">
        <f t="shared" si="6"/>
        <v>0</v>
      </c>
      <c r="AP14" s="312" t="str">
        <f t="shared" si="7"/>
        <v/>
      </c>
      <c r="AQ14" s="312">
        <f t="shared" si="57"/>
        <v>0</v>
      </c>
      <c r="AR14" s="312" t="b">
        <f t="shared" si="8"/>
        <v>0</v>
      </c>
      <c r="AS14" s="312" t="b">
        <f t="shared" si="9"/>
        <v>1</v>
      </c>
      <c r="AT14" s="312" t="b">
        <f t="shared" si="10"/>
        <v>0</v>
      </c>
      <c r="AU14" s="312" t="b">
        <f t="shared" si="11"/>
        <v>0</v>
      </c>
      <c r="AV14" s="312" t="b">
        <f t="shared" si="12"/>
        <v>1</v>
      </c>
      <c r="AW14" s="312" t="b">
        <f t="shared" si="13"/>
        <v>0</v>
      </c>
      <c r="AX14" s="312">
        <f t="shared" si="14"/>
        <v>10</v>
      </c>
      <c r="AY14" s="312">
        <f t="shared" si="15"/>
        <v>0</v>
      </c>
      <c r="AZ14" s="312" t="b">
        <f t="shared" si="58"/>
        <v>0</v>
      </c>
      <c r="BA14" s="312" t="b">
        <f t="shared" si="59"/>
        <v>0</v>
      </c>
      <c r="BB14" s="312" t="b">
        <f t="shared" si="16"/>
        <v>0</v>
      </c>
      <c r="BC14" s="312" t="b">
        <f t="shared" si="17"/>
        <v>0</v>
      </c>
      <c r="BD14" s="312">
        <v>1</v>
      </c>
      <c r="BE14" s="312" t="b">
        <f t="shared" si="18"/>
        <v>0</v>
      </c>
      <c r="BF14" s="312" t="b">
        <f t="shared" si="19"/>
        <v>1</v>
      </c>
      <c r="BG14" s="312" t="b">
        <f t="shared" si="20"/>
        <v>0</v>
      </c>
      <c r="BH14" s="312" t="b">
        <f t="shared" si="21"/>
        <v>0</v>
      </c>
      <c r="BI14" s="312" t="b">
        <f t="shared" si="22"/>
        <v>1</v>
      </c>
      <c r="BJ14" s="312" t="b">
        <f t="shared" si="23"/>
        <v>0</v>
      </c>
      <c r="BK14" s="312" t="b">
        <f t="shared" si="24"/>
        <v>0</v>
      </c>
      <c r="BL14" s="312" t="b">
        <f t="shared" si="60"/>
        <v>0</v>
      </c>
      <c r="BM14" s="312" t="b">
        <f t="shared" si="25"/>
        <v>1</v>
      </c>
      <c r="BN14" s="312" t="b">
        <f t="shared" si="26"/>
        <v>0</v>
      </c>
      <c r="BO14" s="312" t="b">
        <f t="shared" si="27"/>
        <v>0</v>
      </c>
      <c r="BP14" s="312" t="str">
        <f t="shared" si="28"/>
        <v>De vraag moet ingevuld worden.</v>
      </c>
      <c r="BQ14" s="312" t="str">
        <f t="shared" si="29"/>
        <v/>
      </c>
      <c r="BR14" s="312" t="str">
        <f t="shared" si="30"/>
        <v>Deze vraag moet minimaal antwoord 2, 3 of 4 hebben.</v>
      </c>
      <c r="BS14" s="312" t="str">
        <f t="shared" si="31"/>
        <v/>
      </c>
      <c r="BT14" s="312" t="str">
        <f t="shared" si="32"/>
        <v/>
      </c>
      <c r="BU14" s="312" t="str">
        <f t="shared" si="33"/>
        <v/>
      </c>
      <c r="BV14" s="312" t="str">
        <f t="shared" si="61"/>
        <v>De vraag moet ingevuld worden.</v>
      </c>
      <c r="BW14" s="312" t="str">
        <f t="shared" si="34"/>
        <v/>
      </c>
      <c r="BX14" s="312" t="str">
        <f t="shared" si="35"/>
        <v/>
      </c>
      <c r="BY14" s="312" t="str">
        <f t="shared" si="36"/>
        <v/>
      </c>
      <c r="BZ14" s="312" t="b">
        <f t="shared" si="62"/>
        <v>1</v>
      </c>
      <c r="CA14" s="312" t="b">
        <f t="shared" si="37"/>
        <v>0</v>
      </c>
      <c r="CB14" s="312" t="b">
        <f t="shared" si="63"/>
        <v>0</v>
      </c>
      <c r="CC14" s="312" t="str">
        <f t="shared" si="38"/>
        <v>E</v>
      </c>
      <c r="CD14" s="312" t="str">
        <f t="shared" si="38"/>
        <v>G</v>
      </c>
      <c r="CE14" s="312" t="str">
        <f t="shared" si="38"/>
        <v>G</v>
      </c>
      <c r="CF14" s="312" t="b">
        <f t="shared" si="39"/>
        <v>0</v>
      </c>
      <c r="CG14" s="312">
        <f t="shared" si="40"/>
        <v>0</v>
      </c>
      <c r="CH14" s="312">
        <f t="shared" si="64"/>
        <v>0</v>
      </c>
      <c r="CI14" s="312">
        <v>10</v>
      </c>
      <c r="CK14" s="312" t="str">
        <f t="shared" si="69"/>
        <v>INK organisatiegebieden</v>
      </c>
      <c r="CL14" s="312">
        <f t="shared" si="41"/>
        <v>234</v>
      </c>
      <c r="CM14" s="312">
        <f t="shared" si="65"/>
        <v>4</v>
      </c>
      <c r="CN14" s="312">
        <f t="shared" si="66"/>
        <v>2</v>
      </c>
      <c r="CO14" s="312">
        <f t="shared" si="67"/>
        <v>4</v>
      </c>
    </row>
    <row r="15" spans="1:93" ht="15.75" thickBot="1">
      <c r="A15" s="370"/>
      <c r="B15" s="371"/>
      <c r="C15" s="385"/>
      <c r="D15" s="337"/>
      <c r="E15" s="473" t="s">
        <v>19</v>
      </c>
      <c r="F15" s="474" t="s">
        <v>240</v>
      </c>
      <c r="G15" s="475" t="s">
        <v>241</v>
      </c>
      <c r="H15" s="506" t="str">
        <f t="shared" si="42"/>
        <v>E</v>
      </c>
      <c r="I15" s="507" t="str">
        <f t="shared" si="43"/>
        <v>E</v>
      </c>
      <c r="J15" s="508" t="str">
        <f t="shared" si="44"/>
        <v>G</v>
      </c>
      <c r="K15" s="386" t="s">
        <v>216</v>
      </c>
      <c r="L15" s="27"/>
      <c r="M15" s="386"/>
      <c r="N15" s="386"/>
      <c r="O15" s="387"/>
      <c r="P15" s="388"/>
      <c r="Q15" s="389"/>
      <c r="R15" s="388">
        <f t="shared" si="45"/>
        <v>0</v>
      </c>
      <c r="S15" s="389">
        <f t="shared" si="46"/>
        <v>10</v>
      </c>
      <c r="T15" s="674"/>
      <c r="U15" s="676"/>
      <c r="V15" s="375"/>
      <c r="W15" s="384"/>
      <c r="X15" s="367" t="str">
        <f t="shared" si="49"/>
        <v/>
      </c>
      <c r="Y15" s="366">
        <f t="shared" si="50"/>
        <v>0</v>
      </c>
      <c r="Z15" s="368" t="str">
        <f t="shared" si="51"/>
        <v>De vraag moet ingevuld worden.</v>
      </c>
      <c r="AA15" s="369">
        <f t="shared" si="68"/>
        <v>10</v>
      </c>
      <c r="AB15" s="316">
        <f t="shared" si="0"/>
        <v>4</v>
      </c>
      <c r="AC15" s="316" t="str">
        <f t="shared" si="1"/>
        <v xml:space="preserve">Welke middelen ondersteunen het RGS proces? (geld, kennis, technologie, materialen, diensten, normen, BRL's , richtlijnen, etc.) </v>
      </c>
      <c r="AD15" s="316" t="str">
        <f t="shared" si="52"/>
        <v xml:space="preserve">4 Welke middelen ondersteunen het RGS proces? (geld, kennis, technologie, materialen, diensten, normen, BRL's , richtlijnen, etc.) </v>
      </c>
      <c r="AE15" s="316" t="str">
        <f t="shared" si="2"/>
        <v>c Onderzoeksanalyse en opvolging</v>
      </c>
      <c r="AF15" s="316" t="str">
        <f t="shared" si="3"/>
        <v>4c</v>
      </c>
      <c r="AG15" s="316">
        <f t="shared" si="53"/>
        <v>0</v>
      </c>
      <c r="AH15" s="316">
        <f t="shared" si="4"/>
        <v>0</v>
      </c>
      <c r="AI15" s="316">
        <f t="shared" si="4"/>
        <v>0</v>
      </c>
      <c r="AJ15" s="316">
        <f t="shared" si="4"/>
        <v>0</v>
      </c>
      <c r="AK15" s="316">
        <f t="shared" si="54"/>
        <v>0</v>
      </c>
      <c r="AL15" s="316" t="e">
        <f t="shared" si="5"/>
        <v>#N/A</v>
      </c>
      <c r="AM15" s="316">
        <f t="shared" si="55"/>
        <v>0</v>
      </c>
      <c r="AN15" s="316">
        <f t="shared" si="56"/>
        <v>0</v>
      </c>
      <c r="AO15" s="312" t="str">
        <f t="shared" si="6"/>
        <v/>
      </c>
      <c r="AP15" s="312">
        <f t="shared" si="7"/>
        <v>0</v>
      </c>
      <c r="AQ15" s="312">
        <f t="shared" si="57"/>
        <v>0</v>
      </c>
      <c r="AR15" s="312" t="b">
        <f t="shared" si="8"/>
        <v>0</v>
      </c>
      <c r="AS15" s="312" t="b">
        <f t="shared" si="9"/>
        <v>0</v>
      </c>
      <c r="AT15" s="312" t="b">
        <f t="shared" si="10"/>
        <v>1</v>
      </c>
      <c r="AU15" s="312" t="b">
        <f t="shared" si="11"/>
        <v>0</v>
      </c>
      <c r="AV15" s="312" t="b">
        <f t="shared" si="12"/>
        <v>1</v>
      </c>
      <c r="AW15" s="312" t="b">
        <f t="shared" si="13"/>
        <v>0</v>
      </c>
      <c r="AX15" s="312">
        <f t="shared" si="14"/>
        <v>0</v>
      </c>
      <c r="AY15" s="312">
        <f t="shared" si="15"/>
        <v>10</v>
      </c>
      <c r="AZ15" s="312" t="b">
        <f t="shared" si="58"/>
        <v>0</v>
      </c>
      <c r="BA15" s="312" t="b">
        <f t="shared" si="59"/>
        <v>0</v>
      </c>
      <c r="BB15" s="312" t="b">
        <f t="shared" si="16"/>
        <v>0</v>
      </c>
      <c r="BC15" s="312" t="b">
        <f t="shared" si="17"/>
        <v>0</v>
      </c>
      <c r="BD15" s="312">
        <v>1</v>
      </c>
      <c r="BE15" s="312" t="b">
        <f t="shared" si="18"/>
        <v>0</v>
      </c>
      <c r="BF15" s="312" t="b">
        <f t="shared" si="19"/>
        <v>0</v>
      </c>
      <c r="BG15" s="312" t="b">
        <f t="shared" si="20"/>
        <v>1</v>
      </c>
      <c r="BH15" s="312" t="b">
        <f t="shared" si="21"/>
        <v>0</v>
      </c>
      <c r="BI15" s="312" t="b">
        <f t="shared" si="22"/>
        <v>0</v>
      </c>
      <c r="BJ15" s="312" t="b">
        <f t="shared" si="23"/>
        <v>1</v>
      </c>
      <c r="BK15" s="312" t="b">
        <f t="shared" si="24"/>
        <v>0</v>
      </c>
      <c r="BL15" s="312" t="b">
        <f t="shared" si="60"/>
        <v>0</v>
      </c>
      <c r="BM15" s="312" t="b">
        <f t="shared" si="25"/>
        <v>0</v>
      </c>
      <c r="BN15" s="312" t="b">
        <f t="shared" si="26"/>
        <v>1</v>
      </c>
      <c r="BO15" s="312" t="b">
        <f t="shared" si="27"/>
        <v>0</v>
      </c>
      <c r="BP15" s="312" t="str">
        <f t="shared" si="28"/>
        <v>De vraag moet ingevuld worden.</v>
      </c>
      <c r="BQ15" s="312" t="str">
        <f t="shared" si="29"/>
        <v/>
      </c>
      <c r="BR15" s="312" t="str">
        <f t="shared" si="30"/>
        <v/>
      </c>
      <c r="BS15" s="312" t="str">
        <f t="shared" si="31"/>
        <v/>
      </c>
      <c r="BT15" s="312" t="str">
        <f t="shared" si="32"/>
        <v/>
      </c>
      <c r="BU15" s="312">
        <f t="shared" si="33"/>
        <v>0</v>
      </c>
      <c r="BV15" s="312" t="str">
        <f t="shared" si="61"/>
        <v>De vraag moet ingevuld worden.</v>
      </c>
      <c r="BW15" s="312" t="str">
        <f t="shared" si="34"/>
        <v/>
      </c>
      <c r="BX15" s="312" t="str">
        <f t="shared" si="35"/>
        <v>G</v>
      </c>
      <c r="BY15" s="312">
        <f t="shared" si="36"/>
        <v>234</v>
      </c>
      <c r="BZ15" s="312" t="b">
        <f t="shared" si="62"/>
        <v>0</v>
      </c>
      <c r="CA15" s="312" t="b">
        <f t="shared" si="37"/>
        <v>0</v>
      </c>
      <c r="CB15" s="312" t="b">
        <f t="shared" si="63"/>
        <v>0</v>
      </c>
      <c r="CC15" s="312" t="str">
        <f t="shared" si="38"/>
        <v>E</v>
      </c>
      <c r="CD15" s="312" t="str">
        <f t="shared" si="38"/>
        <v>E</v>
      </c>
      <c r="CE15" s="312" t="str">
        <f t="shared" si="38"/>
        <v>G</v>
      </c>
      <c r="CF15" s="312" t="b">
        <f t="shared" si="39"/>
        <v>0</v>
      </c>
      <c r="CG15" s="312">
        <f t="shared" si="40"/>
        <v>0</v>
      </c>
      <c r="CH15" s="312">
        <f t="shared" si="64"/>
        <v>0</v>
      </c>
      <c r="CJ15" s="312">
        <v>10</v>
      </c>
      <c r="CK15" s="312" t="str">
        <f t="shared" si="69"/>
        <v>INK organisatiegebieden</v>
      </c>
      <c r="CL15" s="312">
        <f t="shared" si="41"/>
        <v>1234</v>
      </c>
      <c r="CM15" s="312">
        <f t="shared" si="65"/>
        <v>4</v>
      </c>
      <c r="CN15" s="312">
        <f t="shared" si="66"/>
        <v>2</v>
      </c>
      <c r="CO15" s="312">
        <f t="shared" si="67"/>
        <v>4</v>
      </c>
    </row>
    <row r="16" spans="1:93" ht="15.75" thickBot="1">
      <c r="A16" s="325"/>
      <c r="B16" s="396" t="s">
        <v>242</v>
      </c>
      <c r="C16" s="376">
        <v>5</v>
      </c>
      <c r="D16" s="685" t="s">
        <v>567</v>
      </c>
      <c r="E16" s="463" t="s">
        <v>17</v>
      </c>
      <c r="F16" s="464" t="s">
        <v>244</v>
      </c>
      <c r="G16" s="465" t="s">
        <v>245</v>
      </c>
      <c r="H16" s="500" t="str">
        <f t="shared" si="42"/>
        <v>E</v>
      </c>
      <c r="I16" s="512" t="str">
        <f t="shared" si="43"/>
        <v>M</v>
      </c>
      <c r="J16" s="513" t="str">
        <f t="shared" si="44"/>
        <v>M</v>
      </c>
      <c r="K16" s="397" t="s">
        <v>215</v>
      </c>
      <c r="L16" s="29"/>
      <c r="M16" s="377"/>
      <c r="N16" s="377"/>
      <c r="O16" s="378"/>
      <c r="P16" s="379"/>
      <c r="Q16" s="380"/>
      <c r="R16" s="379">
        <f t="shared" si="45"/>
        <v>10</v>
      </c>
      <c r="S16" s="380">
        <f t="shared" si="46"/>
        <v>0</v>
      </c>
      <c r="T16" s="673">
        <f>SUMIF($AV16:$AV17,TRUE,R16:R17)</f>
        <v>10</v>
      </c>
      <c r="U16" s="675">
        <f>SUMIF($AV16:$AV17,TRUE,S16:S17)</f>
        <v>20</v>
      </c>
      <c r="V16" s="379">
        <f t="shared" si="70"/>
        <v>0</v>
      </c>
      <c r="W16" s="380">
        <f>IF(Q16="x",1,0)</f>
        <v>0</v>
      </c>
      <c r="X16" s="367">
        <f t="shared" si="49"/>
        <v>0</v>
      </c>
      <c r="Y16" s="366" t="str">
        <f t="shared" si="50"/>
        <v/>
      </c>
      <c r="Z16" s="368" t="str">
        <f t="shared" si="51"/>
        <v>De vraag moet ingevuld worden.</v>
      </c>
      <c r="AA16" s="369">
        <f t="shared" si="68"/>
        <v>11</v>
      </c>
      <c r="AB16" s="316">
        <f t="shared" si="0"/>
        <v>5</v>
      </c>
      <c r="AC16" s="316" t="str">
        <f t="shared" si="1"/>
        <v>Hoe ziet uw primaire proces (RGS-proces) eruit en welke stappen zijn hier kritisch in?</v>
      </c>
      <c r="AD16" s="316" t="str">
        <f t="shared" si="52"/>
        <v>5 Hoe ziet uw primaire proces (RGS-proces) eruit en welke stappen zijn hier kritisch in?</v>
      </c>
      <c r="AE16" s="316" t="str">
        <f t="shared" si="2"/>
        <v>a Primair proces</v>
      </c>
      <c r="AF16" s="316" t="str">
        <f t="shared" si="3"/>
        <v>5a</v>
      </c>
      <c r="AG16" s="316">
        <f t="shared" si="53"/>
        <v>0</v>
      </c>
      <c r="AH16" s="316">
        <f t="shared" si="4"/>
        <v>0</v>
      </c>
      <c r="AI16" s="316">
        <f t="shared" si="4"/>
        <v>0</v>
      </c>
      <c r="AJ16" s="316">
        <f t="shared" si="4"/>
        <v>0</v>
      </c>
      <c r="AK16" s="316">
        <f t="shared" si="54"/>
        <v>0</v>
      </c>
      <c r="AL16" s="316" t="e">
        <f t="shared" si="5"/>
        <v>#N/A</v>
      </c>
      <c r="AM16" s="316">
        <f t="shared" si="55"/>
        <v>0</v>
      </c>
      <c r="AN16" s="316">
        <f t="shared" si="56"/>
        <v>10</v>
      </c>
      <c r="AO16" s="312">
        <f t="shared" si="6"/>
        <v>0</v>
      </c>
      <c r="AP16" s="312" t="str">
        <f t="shared" si="7"/>
        <v/>
      </c>
      <c r="AQ16" s="312">
        <f t="shared" si="57"/>
        <v>0</v>
      </c>
      <c r="AR16" s="312" t="b">
        <f t="shared" si="8"/>
        <v>1</v>
      </c>
      <c r="AS16" s="312" t="b">
        <f t="shared" si="9"/>
        <v>0</v>
      </c>
      <c r="AT16" s="312" t="b">
        <f t="shared" si="10"/>
        <v>0</v>
      </c>
      <c r="AU16" s="312" t="b">
        <f t="shared" si="11"/>
        <v>0</v>
      </c>
      <c r="AV16" s="312" t="b">
        <f t="shared" si="12"/>
        <v>1</v>
      </c>
      <c r="AW16" s="312" t="b">
        <f t="shared" si="13"/>
        <v>0</v>
      </c>
      <c r="AX16" s="312">
        <f t="shared" si="14"/>
        <v>10</v>
      </c>
      <c r="AY16" s="312">
        <f t="shared" si="15"/>
        <v>0</v>
      </c>
      <c r="AZ16" s="312" t="b">
        <f t="shared" si="58"/>
        <v>0</v>
      </c>
      <c r="BA16" s="312" t="b">
        <f t="shared" si="59"/>
        <v>0</v>
      </c>
      <c r="BB16" s="312" t="b">
        <f t="shared" si="16"/>
        <v>0</v>
      </c>
      <c r="BC16" s="312" t="b">
        <f t="shared" si="17"/>
        <v>0</v>
      </c>
      <c r="BD16" s="312">
        <v>1</v>
      </c>
      <c r="BE16" s="312" t="b">
        <f t="shared" si="18"/>
        <v>1</v>
      </c>
      <c r="BF16" s="312" t="b">
        <f t="shared" si="19"/>
        <v>0</v>
      </c>
      <c r="BG16" s="312" t="b">
        <f t="shared" si="20"/>
        <v>0</v>
      </c>
      <c r="BH16" s="312" t="b">
        <f t="shared" si="21"/>
        <v>1</v>
      </c>
      <c r="BI16" s="312" t="b">
        <f t="shared" si="22"/>
        <v>0</v>
      </c>
      <c r="BJ16" s="312" t="b">
        <f t="shared" si="23"/>
        <v>0</v>
      </c>
      <c r="BK16" s="312" t="b">
        <f t="shared" si="24"/>
        <v>0</v>
      </c>
      <c r="BL16" s="312" t="b">
        <f t="shared" si="60"/>
        <v>0</v>
      </c>
      <c r="BM16" s="312" t="b">
        <f t="shared" si="25"/>
        <v>1</v>
      </c>
      <c r="BN16" s="312" t="b">
        <f t="shared" si="26"/>
        <v>0</v>
      </c>
      <c r="BO16" s="312" t="b">
        <f t="shared" si="27"/>
        <v>0</v>
      </c>
      <c r="BP16" s="312" t="str">
        <f t="shared" si="28"/>
        <v>De vraag moet ingevuld worden.</v>
      </c>
      <c r="BQ16" s="312" t="str">
        <f t="shared" si="29"/>
        <v>Een MUST-vraag moet minimaal antwoord 3 of 4 hebben.</v>
      </c>
      <c r="BR16" s="312" t="str">
        <f t="shared" si="30"/>
        <v/>
      </c>
      <c r="BS16" s="312" t="str">
        <f t="shared" si="31"/>
        <v/>
      </c>
      <c r="BT16" s="312" t="str">
        <f t="shared" si="32"/>
        <v/>
      </c>
      <c r="BU16" s="312" t="str">
        <f t="shared" si="33"/>
        <v/>
      </c>
      <c r="BV16" s="312" t="str">
        <f t="shared" si="61"/>
        <v>De vraag moet ingevuld worden.</v>
      </c>
      <c r="BW16" s="312" t="str">
        <f t="shared" si="34"/>
        <v/>
      </c>
      <c r="BX16" s="312" t="str">
        <f t="shared" si="35"/>
        <v/>
      </c>
      <c r="BY16" s="312" t="str">
        <f t="shared" si="36"/>
        <v/>
      </c>
      <c r="BZ16" s="312" t="b">
        <f t="shared" si="62"/>
        <v>1</v>
      </c>
      <c r="CA16" s="312" t="b">
        <f t="shared" si="37"/>
        <v>0</v>
      </c>
      <c r="CB16" s="312" t="b">
        <f t="shared" si="63"/>
        <v>0</v>
      </c>
      <c r="CC16" s="312" t="str">
        <f t="shared" si="38"/>
        <v>E</v>
      </c>
      <c r="CD16" s="312" t="str">
        <f t="shared" si="38"/>
        <v>M</v>
      </c>
      <c r="CE16" s="312" t="str">
        <f t="shared" si="38"/>
        <v>M</v>
      </c>
      <c r="CF16" s="312" t="b">
        <f t="shared" si="39"/>
        <v>0</v>
      </c>
      <c r="CG16" s="312">
        <f t="shared" si="40"/>
        <v>0</v>
      </c>
      <c r="CH16" s="312">
        <f t="shared" si="64"/>
        <v>0</v>
      </c>
      <c r="CI16" s="312">
        <v>10</v>
      </c>
      <c r="CK16" s="312" t="str">
        <f t="shared" si="69"/>
        <v>INK organisatiegebieden</v>
      </c>
      <c r="CL16" s="312">
        <f t="shared" si="41"/>
        <v>34</v>
      </c>
      <c r="CM16" s="312">
        <f t="shared" si="65"/>
        <v>4</v>
      </c>
      <c r="CN16" s="312">
        <f t="shared" si="66"/>
        <v>3</v>
      </c>
      <c r="CO16" s="312">
        <f t="shared" si="67"/>
        <v>4</v>
      </c>
    </row>
    <row r="17" spans="1:93" ht="15.75" thickBot="1">
      <c r="A17" s="370"/>
      <c r="B17" s="398"/>
      <c r="C17" s="381"/>
      <c r="D17" s="686"/>
      <c r="E17" s="472" t="s">
        <v>18</v>
      </c>
      <c r="F17" s="470" t="s">
        <v>246</v>
      </c>
      <c r="G17" s="471" t="s">
        <v>232</v>
      </c>
      <c r="H17" s="509" t="str">
        <f t="shared" si="42"/>
        <v>E</v>
      </c>
      <c r="I17" s="514" t="str">
        <f t="shared" si="43"/>
        <v>G</v>
      </c>
      <c r="J17" s="515" t="str">
        <f t="shared" si="44"/>
        <v>G</v>
      </c>
      <c r="K17" s="399" t="s">
        <v>216</v>
      </c>
      <c r="L17" s="30"/>
      <c r="M17" s="382"/>
      <c r="N17" s="382"/>
      <c r="O17" s="383"/>
      <c r="P17" s="375"/>
      <c r="Q17" s="384"/>
      <c r="R17" s="375">
        <f t="shared" si="45"/>
        <v>0</v>
      </c>
      <c r="S17" s="384">
        <f t="shared" si="46"/>
        <v>20</v>
      </c>
      <c r="T17" s="674"/>
      <c r="U17" s="676"/>
      <c r="V17" s="375">
        <f t="shared" si="70"/>
        <v>0</v>
      </c>
      <c r="W17" s="380">
        <f aca="true" t="shared" si="71" ref="W17:W18">IF(Q17="x",1,0)</f>
        <v>0</v>
      </c>
      <c r="X17" s="367" t="str">
        <f t="shared" si="49"/>
        <v/>
      </c>
      <c r="Y17" s="366">
        <f t="shared" si="50"/>
        <v>0</v>
      </c>
      <c r="Z17" s="368" t="str">
        <f t="shared" si="51"/>
        <v>De vraag moet ingevuld worden.</v>
      </c>
      <c r="AA17" s="369">
        <f t="shared" si="68"/>
        <v>12</v>
      </c>
      <c r="AB17" s="316">
        <f t="shared" si="0"/>
        <v>5</v>
      </c>
      <c r="AC17" s="316" t="str">
        <f t="shared" si="1"/>
        <v>Hoe ziet uw primaire proces (RGS-proces) eruit en welke stappen zijn hier kritisch in?</v>
      </c>
      <c r="AD17" s="316" t="str">
        <f t="shared" si="52"/>
        <v>5 Hoe ziet uw primaire proces (RGS-proces) eruit en welke stappen zijn hier kritisch in?</v>
      </c>
      <c r="AE17" s="316" t="str">
        <f t="shared" si="2"/>
        <v>b Procescoördinatie</v>
      </c>
      <c r="AF17" s="316" t="str">
        <f t="shared" si="3"/>
        <v>5b</v>
      </c>
      <c r="AG17" s="316">
        <f t="shared" si="53"/>
        <v>0</v>
      </c>
      <c r="AH17" s="316">
        <f t="shared" si="4"/>
        <v>0</v>
      </c>
      <c r="AI17" s="316">
        <f t="shared" si="4"/>
        <v>0</v>
      </c>
      <c r="AJ17" s="316">
        <f t="shared" si="4"/>
        <v>0</v>
      </c>
      <c r="AK17" s="316">
        <f t="shared" si="54"/>
        <v>0</v>
      </c>
      <c r="AL17" s="316" t="e">
        <f t="shared" si="5"/>
        <v>#N/A</v>
      </c>
      <c r="AM17" s="316">
        <f t="shared" si="55"/>
        <v>0</v>
      </c>
      <c r="AN17" s="316">
        <f t="shared" si="56"/>
        <v>0</v>
      </c>
      <c r="AO17" s="312" t="str">
        <f t="shared" si="6"/>
        <v/>
      </c>
      <c r="AP17" s="312">
        <f t="shared" si="7"/>
        <v>0</v>
      </c>
      <c r="AQ17" s="312">
        <f t="shared" si="57"/>
        <v>0</v>
      </c>
      <c r="AR17" s="312" t="b">
        <f t="shared" si="8"/>
        <v>0</v>
      </c>
      <c r="AS17" s="312" t="b">
        <f t="shared" si="9"/>
        <v>1</v>
      </c>
      <c r="AT17" s="312" t="b">
        <f t="shared" si="10"/>
        <v>0</v>
      </c>
      <c r="AU17" s="312" t="b">
        <f t="shared" si="11"/>
        <v>0</v>
      </c>
      <c r="AV17" s="312" t="b">
        <f t="shared" si="12"/>
        <v>1</v>
      </c>
      <c r="AW17" s="312" t="b">
        <f t="shared" si="13"/>
        <v>0</v>
      </c>
      <c r="AX17" s="312">
        <f t="shared" si="14"/>
        <v>0</v>
      </c>
      <c r="AY17" s="312">
        <f t="shared" si="15"/>
        <v>20</v>
      </c>
      <c r="AZ17" s="312" t="b">
        <f t="shared" si="58"/>
        <v>0</v>
      </c>
      <c r="BA17" s="312" t="b">
        <f t="shared" si="59"/>
        <v>0</v>
      </c>
      <c r="BB17" s="312" t="b">
        <f t="shared" si="16"/>
        <v>0</v>
      </c>
      <c r="BC17" s="312" t="b">
        <f t="shared" si="17"/>
        <v>0</v>
      </c>
      <c r="BD17" s="312">
        <v>1</v>
      </c>
      <c r="BE17" s="312" t="b">
        <f t="shared" si="18"/>
        <v>0</v>
      </c>
      <c r="BF17" s="312" t="b">
        <f t="shared" si="19"/>
        <v>1</v>
      </c>
      <c r="BG17" s="312" t="b">
        <f t="shared" si="20"/>
        <v>0</v>
      </c>
      <c r="BH17" s="312" t="b">
        <f t="shared" si="21"/>
        <v>0</v>
      </c>
      <c r="BI17" s="312" t="b">
        <f t="shared" si="22"/>
        <v>1</v>
      </c>
      <c r="BJ17" s="312" t="b">
        <f t="shared" si="23"/>
        <v>0</v>
      </c>
      <c r="BK17" s="312" t="b">
        <f t="shared" si="24"/>
        <v>0</v>
      </c>
      <c r="BL17" s="312" t="b">
        <f t="shared" si="60"/>
        <v>0</v>
      </c>
      <c r="BM17" s="312" t="b">
        <f t="shared" si="25"/>
        <v>0</v>
      </c>
      <c r="BN17" s="312" t="b">
        <f t="shared" si="26"/>
        <v>1</v>
      </c>
      <c r="BO17" s="312" t="b">
        <f t="shared" si="27"/>
        <v>0</v>
      </c>
      <c r="BP17" s="312" t="str">
        <f t="shared" si="28"/>
        <v>De vraag moet ingevuld worden.</v>
      </c>
      <c r="BQ17" s="312" t="str">
        <f t="shared" si="29"/>
        <v/>
      </c>
      <c r="BR17" s="312" t="str">
        <f t="shared" si="30"/>
        <v>Deze vraag moet minimaal antwoord 2, 3 of 4 hebben.</v>
      </c>
      <c r="BS17" s="312" t="str">
        <f t="shared" si="31"/>
        <v/>
      </c>
      <c r="BT17" s="312" t="str">
        <f t="shared" si="32"/>
        <v/>
      </c>
      <c r="BU17" s="312" t="str">
        <f t="shared" si="33"/>
        <v/>
      </c>
      <c r="BV17" s="312" t="str">
        <f t="shared" si="61"/>
        <v>De vraag moet ingevuld worden.</v>
      </c>
      <c r="BW17" s="312" t="str">
        <f t="shared" si="34"/>
        <v/>
      </c>
      <c r="BX17" s="312" t="str">
        <f t="shared" si="35"/>
        <v/>
      </c>
      <c r="BY17" s="312" t="str">
        <f t="shared" si="36"/>
        <v/>
      </c>
      <c r="BZ17" s="312" t="b">
        <f t="shared" si="62"/>
        <v>1</v>
      </c>
      <c r="CA17" s="312" t="b">
        <f t="shared" si="37"/>
        <v>0</v>
      </c>
      <c r="CB17" s="312" t="b">
        <f t="shared" si="63"/>
        <v>0</v>
      </c>
      <c r="CC17" s="312" t="str">
        <f t="shared" si="38"/>
        <v>E</v>
      </c>
      <c r="CD17" s="312" t="str">
        <f t="shared" si="38"/>
        <v>G</v>
      </c>
      <c r="CE17" s="312" t="str">
        <f t="shared" si="38"/>
        <v>G</v>
      </c>
      <c r="CF17" s="312" t="b">
        <f t="shared" si="39"/>
        <v>0</v>
      </c>
      <c r="CG17" s="312">
        <f t="shared" si="40"/>
        <v>0</v>
      </c>
      <c r="CH17" s="312">
        <f t="shared" si="64"/>
        <v>0</v>
      </c>
      <c r="CJ17" s="312">
        <v>20</v>
      </c>
      <c r="CK17" s="312" t="str">
        <f t="shared" si="69"/>
        <v>INK organisatiegebieden</v>
      </c>
      <c r="CL17" s="312">
        <f t="shared" si="41"/>
        <v>234</v>
      </c>
      <c r="CM17" s="312">
        <f t="shared" si="65"/>
        <v>4</v>
      </c>
      <c r="CN17" s="312">
        <f t="shared" si="66"/>
        <v>2</v>
      </c>
      <c r="CO17" s="312">
        <f t="shared" si="67"/>
        <v>4</v>
      </c>
    </row>
    <row r="18" spans="1:93" ht="30">
      <c r="A18" s="400" t="s">
        <v>247</v>
      </c>
      <c r="B18" s="401" t="s">
        <v>248</v>
      </c>
      <c r="C18" s="376">
        <v>6</v>
      </c>
      <c r="D18" s="402" t="s">
        <v>249</v>
      </c>
      <c r="E18" s="458" t="s">
        <v>17</v>
      </c>
      <c r="F18" s="467" t="s">
        <v>250</v>
      </c>
      <c r="G18" s="468" t="s">
        <v>251</v>
      </c>
      <c r="H18" s="516" t="str">
        <f t="shared" si="42"/>
        <v>E</v>
      </c>
      <c r="I18" s="609" t="str">
        <f t="shared" si="43"/>
        <v>(O)</v>
      </c>
      <c r="J18" s="517" t="str">
        <f t="shared" si="44"/>
        <v>M</v>
      </c>
      <c r="K18" s="613" t="s">
        <v>215</v>
      </c>
      <c r="L18" s="614"/>
      <c r="M18" s="377"/>
      <c r="N18" s="377"/>
      <c r="O18" s="378"/>
      <c r="P18" s="379"/>
      <c r="Q18" s="380"/>
      <c r="R18" s="379">
        <f t="shared" si="45"/>
        <v>10</v>
      </c>
      <c r="S18" s="380">
        <f t="shared" si="46"/>
        <v>0</v>
      </c>
      <c r="T18" s="673">
        <f>SUMIF($AV18:$AV19,TRUE,R18:R19)</f>
        <v>10</v>
      </c>
      <c r="U18" s="675">
        <f>SUMIF($AV18:$AV19,TRUE,S18:S19)</f>
        <v>10</v>
      </c>
      <c r="V18" s="379">
        <f t="shared" si="70"/>
        <v>0</v>
      </c>
      <c r="W18" s="380">
        <f t="shared" si="71"/>
        <v>0</v>
      </c>
      <c r="X18" s="367">
        <f t="shared" si="49"/>
        <v>0</v>
      </c>
      <c r="Y18" s="366" t="str">
        <f t="shared" si="50"/>
        <v/>
      </c>
      <c r="Z18" s="368" t="str">
        <f t="shared" si="51"/>
        <v>De vraag moet ingevuld worden.</v>
      </c>
      <c r="AA18" s="369">
        <f t="shared" si="68"/>
        <v>13</v>
      </c>
      <c r="AB18" s="316">
        <f t="shared" si="0"/>
        <v>6</v>
      </c>
      <c r="AC18" s="316" t="str">
        <f t="shared" si="1"/>
        <v>Op basis van welke criteria wordt het ontwikkelteam samengesteld?</v>
      </c>
      <c r="AD18" s="316" t="str">
        <f t="shared" si="52"/>
        <v>6 Op basis van welke criteria wordt het ontwikkelteam samengesteld?</v>
      </c>
      <c r="AE18" s="316" t="str">
        <f t="shared" si="2"/>
        <v>a Startdocument - complexstrategie</v>
      </c>
      <c r="AF18" s="316" t="str">
        <f t="shared" si="3"/>
        <v>6a</v>
      </c>
      <c r="AG18" s="316">
        <f t="shared" si="53"/>
        <v>0</v>
      </c>
      <c r="AH18" s="316">
        <f t="shared" si="4"/>
        <v>0</v>
      </c>
      <c r="AI18" s="316">
        <f t="shared" si="4"/>
        <v>0</v>
      </c>
      <c r="AJ18" s="316">
        <f t="shared" si="4"/>
        <v>0</v>
      </c>
      <c r="AK18" s="316">
        <f t="shared" si="54"/>
        <v>0</v>
      </c>
      <c r="AL18" s="316" t="e">
        <f t="shared" si="5"/>
        <v>#N/A</v>
      </c>
      <c r="AM18" s="316">
        <f t="shared" si="55"/>
        <v>0</v>
      </c>
      <c r="AN18" s="316">
        <f t="shared" si="56"/>
        <v>10</v>
      </c>
      <c r="AO18" s="312">
        <f t="shared" si="6"/>
        <v>0</v>
      </c>
      <c r="AP18" s="312" t="str">
        <f t="shared" si="7"/>
        <v/>
      </c>
      <c r="AQ18" s="312">
        <f t="shared" si="57"/>
        <v>0</v>
      </c>
      <c r="AR18" s="312" t="b">
        <f t="shared" si="8"/>
        <v>0</v>
      </c>
      <c r="AS18" s="312" t="b">
        <f t="shared" si="9"/>
        <v>0</v>
      </c>
      <c r="AT18" s="312" t="b">
        <f t="shared" si="10"/>
        <v>0</v>
      </c>
      <c r="AU18" s="312" t="b">
        <f t="shared" si="11"/>
        <v>0</v>
      </c>
      <c r="AV18" s="312" t="b">
        <f t="shared" si="12"/>
        <v>1</v>
      </c>
      <c r="AW18" s="312" t="b">
        <f t="shared" si="13"/>
        <v>0</v>
      </c>
      <c r="AX18" s="312">
        <f t="shared" si="14"/>
        <v>10</v>
      </c>
      <c r="AY18" s="312">
        <f t="shared" si="15"/>
        <v>0</v>
      </c>
      <c r="AZ18" s="312" t="b">
        <f t="shared" si="58"/>
        <v>0</v>
      </c>
      <c r="BA18" s="312" t="b">
        <f t="shared" si="59"/>
        <v>0</v>
      </c>
      <c r="BB18" s="312" t="b">
        <f t="shared" si="16"/>
        <v>0</v>
      </c>
      <c r="BC18" s="312" t="b">
        <f t="shared" si="17"/>
        <v>0</v>
      </c>
      <c r="BD18" s="312">
        <v>1</v>
      </c>
      <c r="BE18" s="312" t="b">
        <f t="shared" si="18"/>
        <v>0</v>
      </c>
      <c r="BF18" s="312" t="b">
        <f t="shared" si="19"/>
        <v>0</v>
      </c>
      <c r="BG18" s="312" t="b">
        <f t="shared" si="20"/>
        <v>0</v>
      </c>
      <c r="BH18" s="312" t="b">
        <f t="shared" si="21"/>
        <v>0</v>
      </c>
      <c r="BI18" s="312" t="b">
        <f t="shared" si="22"/>
        <v>0</v>
      </c>
      <c r="BJ18" s="312" t="b">
        <f t="shared" si="23"/>
        <v>0</v>
      </c>
      <c r="BK18" s="312" t="b">
        <f t="shared" si="24"/>
        <v>0</v>
      </c>
      <c r="BL18" s="312" t="b">
        <f t="shared" si="60"/>
        <v>0</v>
      </c>
      <c r="BM18" s="312" t="b">
        <f t="shared" si="25"/>
        <v>1</v>
      </c>
      <c r="BN18" s="312" t="b">
        <f t="shared" si="26"/>
        <v>0</v>
      </c>
      <c r="BO18" s="312" t="b">
        <f t="shared" si="27"/>
        <v>0</v>
      </c>
      <c r="BP18" s="312" t="str">
        <f t="shared" si="28"/>
        <v>De vraag moet ingevuld worden.</v>
      </c>
      <c r="BQ18" s="312" t="str">
        <f t="shared" si="29"/>
        <v/>
      </c>
      <c r="BR18" s="312" t="str">
        <f t="shared" si="30"/>
        <v/>
      </c>
      <c r="BS18" s="312" t="str">
        <f t="shared" si="31"/>
        <v/>
      </c>
      <c r="BT18" s="312" t="str">
        <f t="shared" si="32"/>
        <v/>
      </c>
      <c r="BU18" s="312">
        <f t="shared" si="33"/>
        <v>0</v>
      </c>
      <c r="BV18" s="312" t="str">
        <f t="shared" si="61"/>
        <v>De vraag moet ingevuld worden.</v>
      </c>
      <c r="BW18" s="312" t="str">
        <f t="shared" si="34"/>
        <v/>
      </c>
      <c r="BX18" s="312" t="str">
        <f t="shared" si="35"/>
        <v>M</v>
      </c>
      <c r="BY18" s="312">
        <f t="shared" si="36"/>
        <v>34</v>
      </c>
      <c r="BZ18" s="312" t="b">
        <f t="shared" si="62"/>
        <v>0</v>
      </c>
      <c r="CA18" s="312" t="b">
        <f t="shared" si="37"/>
        <v>1</v>
      </c>
      <c r="CB18" s="312" t="b">
        <f t="shared" si="63"/>
        <v>0</v>
      </c>
      <c r="CC18" s="312" t="str">
        <f t="shared" si="38"/>
        <v>E</v>
      </c>
      <c r="CD18" s="312" t="str">
        <f t="shared" si="38"/>
        <v>(O)</v>
      </c>
      <c r="CE18" s="312" t="str">
        <f t="shared" si="38"/>
        <v>M</v>
      </c>
      <c r="CF18" s="312" t="b">
        <f t="shared" si="39"/>
        <v>1</v>
      </c>
      <c r="CG18" s="312" t="str">
        <f t="shared" si="40"/>
        <v>Fase 1</v>
      </c>
      <c r="CH18" s="312" t="str">
        <f t="shared" si="64"/>
        <v>Fase 1</v>
      </c>
      <c r="CI18" s="312">
        <v>10</v>
      </c>
      <c r="CK18" s="312" t="str">
        <f>A18</f>
        <v>Fase 1</v>
      </c>
      <c r="CL18" s="312">
        <f t="shared" si="41"/>
        <v>1234</v>
      </c>
      <c r="CM18" s="312">
        <f t="shared" si="65"/>
        <v>4</v>
      </c>
      <c r="CN18" s="312">
        <f t="shared" si="66"/>
        <v>3</v>
      </c>
      <c r="CO18" s="312">
        <f t="shared" si="67"/>
        <v>4</v>
      </c>
    </row>
    <row r="19" spans="1:93" ht="15.75" thickBot="1">
      <c r="A19" s="449"/>
      <c r="B19" s="450"/>
      <c r="C19" s="385"/>
      <c r="D19" s="405"/>
      <c r="E19" s="466" t="s">
        <v>18</v>
      </c>
      <c r="F19" s="467" t="s">
        <v>252</v>
      </c>
      <c r="G19" s="468" t="s">
        <v>253</v>
      </c>
      <c r="H19" s="518" t="str">
        <f t="shared" si="42"/>
        <v>E</v>
      </c>
      <c r="I19" s="612" t="str">
        <f t="shared" si="43"/>
        <v>(O)</v>
      </c>
      <c r="J19" s="519" t="str">
        <f t="shared" si="44"/>
        <v>E</v>
      </c>
      <c r="K19" s="615" t="s">
        <v>216</v>
      </c>
      <c r="L19" s="616"/>
      <c r="M19" s="363"/>
      <c r="N19" s="363"/>
      <c r="O19" s="364"/>
      <c r="P19" s="365"/>
      <c r="Q19" s="366"/>
      <c r="R19" s="365">
        <f t="shared" si="45"/>
        <v>0</v>
      </c>
      <c r="S19" s="366">
        <f t="shared" si="46"/>
        <v>10</v>
      </c>
      <c r="T19" s="674"/>
      <c r="U19" s="676"/>
      <c r="V19" s="365"/>
      <c r="W19" s="366"/>
      <c r="X19" s="367" t="str">
        <f t="shared" si="49"/>
        <v/>
      </c>
      <c r="Y19" s="366">
        <f t="shared" si="50"/>
        <v>0</v>
      </c>
      <c r="Z19" s="368" t="str">
        <f t="shared" si="51"/>
        <v>De vraag moet ingevuld worden.</v>
      </c>
      <c r="AA19" s="369">
        <f t="shared" si="68"/>
        <v>14</v>
      </c>
      <c r="AB19" s="316">
        <f t="shared" si="0"/>
        <v>6</v>
      </c>
      <c r="AC19" s="316" t="str">
        <f t="shared" si="1"/>
        <v>Op basis van welke criteria wordt het ontwikkelteam samengesteld?</v>
      </c>
      <c r="AD19" s="316" t="str">
        <f t="shared" si="52"/>
        <v>6 Op basis van welke criteria wordt het ontwikkelteam samengesteld?</v>
      </c>
      <c r="AE19" s="316" t="str">
        <f t="shared" si="2"/>
        <v>b Ontwikkelteam</v>
      </c>
      <c r="AF19" s="316" t="str">
        <f t="shared" si="3"/>
        <v>6b</v>
      </c>
      <c r="AG19" s="316">
        <f t="shared" si="53"/>
        <v>0</v>
      </c>
      <c r="AH19" s="316">
        <f t="shared" si="4"/>
        <v>0</v>
      </c>
      <c r="AI19" s="316">
        <f t="shared" si="4"/>
        <v>0</v>
      </c>
      <c r="AJ19" s="316">
        <f t="shared" si="4"/>
        <v>0</v>
      </c>
      <c r="AK19" s="316">
        <f t="shared" si="54"/>
        <v>0</v>
      </c>
      <c r="AL19" s="316" t="e">
        <f t="shared" si="5"/>
        <v>#N/A</v>
      </c>
      <c r="AM19" s="316">
        <f t="shared" si="55"/>
        <v>0</v>
      </c>
      <c r="AN19" s="316">
        <f t="shared" si="56"/>
        <v>0</v>
      </c>
      <c r="AO19" s="312" t="str">
        <f t="shared" si="6"/>
        <v/>
      </c>
      <c r="AP19" s="312">
        <f t="shared" si="7"/>
        <v>0</v>
      </c>
      <c r="AQ19" s="312">
        <f t="shared" si="57"/>
        <v>0</v>
      </c>
      <c r="AR19" s="312" t="b">
        <f t="shared" si="8"/>
        <v>0</v>
      </c>
      <c r="AS19" s="312" t="b">
        <f t="shared" si="9"/>
        <v>0</v>
      </c>
      <c r="AT19" s="312" t="b">
        <f t="shared" si="10"/>
        <v>0</v>
      </c>
      <c r="AU19" s="312" t="b">
        <f t="shared" si="11"/>
        <v>0</v>
      </c>
      <c r="AV19" s="312" t="b">
        <f t="shared" si="12"/>
        <v>1</v>
      </c>
      <c r="AW19" s="312" t="b">
        <f t="shared" si="13"/>
        <v>0</v>
      </c>
      <c r="AX19" s="312">
        <f t="shared" si="14"/>
        <v>0</v>
      </c>
      <c r="AY19" s="312">
        <f t="shared" si="15"/>
        <v>10</v>
      </c>
      <c r="AZ19" s="312" t="b">
        <f t="shared" si="58"/>
        <v>0</v>
      </c>
      <c r="BA19" s="312" t="b">
        <f t="shared" si="59"/>
        <v>0</v>
      </c>
      <c r="BB19" s="312" t="b">
        <f t="shared" si="16"/>
        <v>0</v>
      </c>
      <c r="BC19" s="312" t="b">
        <f t="shared" si="17"/>
        <v>0</v>
      </c>
      <c r="BD19" s="312">
        <v>1</v>
      </c>
      <c r="BE19" s="312" t="b">
        <f t="shared" si="18"/>
        <v>0</v>
      </c>
      <c r="BF19" s="312" t="b">
        <f t="shared" si="19"/>
        <v>0</v>
      </c>
      <c r="BG19" s="312" t="b">
        <f t="shared" si="20"/>
        <v>0</v>
      </c>
      <c r="BH19" s="312" t="b">
        <f t="shared" si="21"/>
        <v>0</v>
      </c>
      <c r="BI19" s="312" t="b">
        <f t="shared" si="22"/>
        <v>0</v>
      </c>
      <c r="BJ19" s="312" t="b">
        <f t="shared" si="23"/>
        <v>0</v>
      </c>
      <c r="BK19" s="312" t="b">
        <f t="shared" si="24"/>
        <v>0</v>
      </c>
      <c r="BL19" s="312" t="b">
        <f t="shared" si="60"/>
        <v>0</v>
      </c>
      <c r="BM19" s="312" t="b">
        <f t="shared" si="25"/>
        <v>0</v>
      </c>
      <c r="BN19" s="312" t="b">
        <f t="shared" si="26"/>
        <v>1</v>
      </c>
      <c r="BO19" s="312" t="b">
        <f t="shared" si="27"/>
        <v>0</v>
      </c>
      <c r="BP19" s="312" t="str">
        <f t="shared" si="28"/>
        <v>De vraag moet ingevuld worden.</v>
      </c>
      <c r="BQ19" s="312" t="str">
        <f t="shared" si="29"/>
        <v/>
      </c>
      <c r="BR19" s="312" t="str">
        <f t="shared" si="30"/>
        <v/>
      </c>
      <c r="BS19" s="312" t="str">
        <f t="shared" si="31"/>
        <v/>
      </c>
      <c r="BT19" s="312" t="str">
        <f t="shared" si="32"/>
        <v/>
      </c>
      <c r="BU19" s="312">
        <f t="shared" si="33"/>
        <v>0</v>
      </c>
      <c r="BV19" s="312" t="str">
        <f t="shared" si="61"/>
        <v>De vraag moet ingevuld worden.</v>
      </c>
      <c r="BW19" s="312" t="str">
        <f t="shared" si="34"/>
        <v/>
      </c>
      <c r="BX19" s="312" t="str">
        <f t="shared" si="35"/>
        <v>E</v>
      </c>
      <c r="BY19" s="312">
        <f t="shared" si="36"/>
        <v>1234</v>
      </c>
      <c r="BZ19" s="312" t="b">
        <f t="shared" si="62"/>
        <v>0</v>
      </c>
      <c r="CA19" s="312" t="b">
        <f t="shared" si="37"/>
        <v>1</v>
      </c>
      <c r="CB19" s="312" t="b">
        <f t="shared" si="63"/>
        <v>0</v>
      </c>
      <c r="CC19" s="312" t="str">
        <f t="shared" si="38"/>
        <v>E</v>
      </c>
      <c r="CD19" s="312" t="str">
        <f t="shared" si="38"/>
        <v>(O)</v>
      </c>
      <c r="CE19" s="312" t="str">
        <f t="shared" si="38"/>
        <v>E</v>
      </c>
      <c r="CF19" s="312" t="b">
        <f t="shared" si="39"/>
        <v>0</v>
      </c>
      <c r="CG19" s="312" t="str">
        <f t="shared" si="40"/>
        <v/>
      </c>
      <c r="CH19" s="312" t="str">
        <f t="shared" si="64"/>
        <v>Fase 1</v>
      </c>
      <c r="CJ19" s="312">
        <v>10</v>
      </c>
      <c r="CK19" s="312" t="str">
        <f>CK18</f>
        <v>Fase 1</v>
      </c>
      <c r="CL19" s="312">
        <f t="shared" si="41"/>
        <v>1234</v>
      </c>
      <c r="CM19" s="312">
        <f t="shared" si="65"/>
        <v>4</v>
      </c>
      <c r="CN19" s="312">
        <f t="shared" si="66"/>
        <v>1</v>
      </c>
      <c r="CO19" s="312">
        <f t="shared" si="67"/>
        <v>4</v>
      </c>
    </row>
    <row r="20" spans="1:93" ht="15.75" thickBot="1">
      <c r="A20" s="453"/>
      <c r="B20" s="454"/>
      <c r="C20" s="406">
        <v>7</v>
      </c>
      <c r="D20" s="406" t="s">
        <v>254</v>
      </c>
      <c r="E20" s="463" t="s">
        <v>17</v>
      </c>
      <c r="F20" s="464" t="s">
        <v>255</v>
      </c>
      <c r="G20" s="465" t="s">
        <v>256</v>
      </c>
      <c r="H20" s="520" t="str">
        <f t="shared" si="42"/>
        <v>E</v>
      </c>
      <c r="I20" s="609" t="str">
        <f t="shared" si="43"/>
        <v>(O)</v>
      </c>
      <c r="J20" s="517" t="str">
        <f t="shared" si="44"/>
        <v>G</v>
      </c>
      <c r="K20" s="613" t="s">
        <v>215</v>
      </c>
      <c r="L20" s="614"/>
      <c r="M20" s="377"/>
      <c r="N20" s="377"/>
      <c r="O20" s="378"/>
      <c r="P20" s="379"/>
      <c r="Q20" s="380"/>
      <c r="R20" s="407">
        <f t="shared" si="45"/>
        <v>10</v>
      </c>
      <c r="S20" s="408">
        <f t="shared" si="46"/>
        <v>0</v>
      </c>
      <c r="T20" s="673">
        <f>SUMIF($AV20:$AV21,TRUE,R20:R21)</f>
        <v>10</v>
      </c>
      <c r="U20" s="675">
        <f>SUMIF($AV20:$AV21,TRUE,S20:S21)</f>
        <v>10</v>
      </c>
      <c r="V20" s="379">
        <f t="shared" si="70"/>
        <v>0</v>
      </c>
      <c r="W20" s="380">
        <f>IF(Q20="x",1,0)</f>
        <v>0</v>
      </c>
      <c r="X20" s="367">
        <f t="shared" si="49"/>
        <v>0</v>
      </c>
      <c r="Y20" s="366" t="str">
        <f t="shared" si="50"/>
        <v/>
      </c>
      <c r="Z20" s="368" t="str">
        <f t="shared" si="51"/>
        <v>De vraag moet ingevuld worden.</v>
      </c>
      <c r="AA20" s="369">
        <f t="shared" si="68"/>
        <v>15</v>
      </c>
      <c r="AB20" s="316">
        <f t="shared" si="0"/>
        <v>7</v>
      </c>
      <c r="AC20" s="316" t="str">
        <f t="shared" si="1"/>
        <v>Hoe ziet een projectplanning bij u eruit?</v>
      </c>
      <c r="AD20" s="316" t="str">
        <f t="shared" si="52"/>
        <v>7 Hoe ziet een projectplanning bij u eruit?</v>
      </c>
      <c r="AE20" s="316" t="str">
        <f t="shared" si="2"/>
        <v>a Projectplanning</v>
      </c>
      <c r="AF20" s="316" t="str">
        <f t="shared" si="3"/>
        <v>7a</v>
      </c>
      <c r="AG20" s="316">
        <f t="shared" si="53"/>
        <v>0</v>
      </c>
      <c r="AH20" s="316">
        <f t="shared" si="4"/>
        <v>0</v>
      </c>
      <c r="AI20" s="316">
        <f t="shared" si="4"/>
        <v>0</v>
      </c>
      <c r="AJ20" s="316">
        <f t="shared" si="4"/>
        <v>0</v>
      </c>
      <c r="AK20" s="316">
        <f t="shared" si="54"/>
        <v>0</v>
      </c>
      <c r="AL20" s="316" t="e">
        <f t="shared" si="5"/>
        <v>#N/A</v>
      </c>
      <c r="AM20" s="316">
        <f t="shared" si="55"/>
        <v>0</v>
      </c>
      <c r="AN20" s="316">
        <f t="shared" si="56"/>
        <v>10</v>
      </c>
      <c r="AO20" s="312">
        <f t="shared" si="6"/>
        <v>0</v>
      </c>
      <c r="AP20" s="312" t="str">
        <f t="shared" si="7"/>
        <v/>
      </c>
      <c r="AQ20" s="312">
        <f t="shared" si="57"/>
        <v>0</v>
      </c>
      <c r="AR20" s="312" t="b">
        <f t="shared" si="8"/>
        <v>0</v>
      </c>
      <c r="AS20" s="312" t="b">
        <f t="shared" si="9"/>
        <v>0</v>
      </c>
      <c r="AT20" s="312" t="b">
        <f t="shared" si="10"/>
        <v>0</v>
      </c>
      <c r="AU20" s="312" t="b">
        <f t="shared" si="11"/>
        <v>0</v>
      </c>
      <c r="AV20" s="312" t="b">
        <f t="shared" si="12"/>
        <v>1</v>
      </c>
      <c r="AW20" s="312" t="b">
        <f t="shared" si="13"/>
        <v>0</v>
      </c>
      <c r="AX20" s="312">
        <f t="shared" si="14"/>
        <v>10</v>
      </c>
      <c r="AY20" s="312">
        <f t="shared" si="15"/>
        <v>0</v>
      </c>
      <c r="AZ20" s="312" t="b">
        <f t="shared" si="58"/>
        <v>0</v>
      </c>
      <c r="BA20" s="312" t="b">
        <f t="shared" si="59"/>
        <v>0</v>
      </c>
      <c r="BB20" s="312" t="b">
        <f t="shared" si="16"/>
        <v>0</v>
      </c>
      <c r="BC20" s="312" t="b">
        <f t="shared" si="17"/>
        <v>0</v>
      </c>
      <c r="BD20" s="312">
        <v>1</v>
      </c>
      <c r="BE20" s="312" t="b">
        <f t="shared" si="18"/>
        <v>0</v>
      </c>
      <c r="BF20" s="312" t="b">
        <f t="shared" si="19"/>
        <v>0</v>
      </c>
      <c r="BG20" s="312" t="b">
        <f t="shared" si="20"/>
        <v>0</v>
      </c>
      <c r="BH20" s="312" t="b">
        <f t="shared" si="21"/>
        <v>0</v>
      </c>
      <c r="BI20" s="312" t="b">
        <f t="shared" si="22"/>
        <v>0</v>
      </c>
      <c r="BJ20" s="312" t="b">
        <f t="shared" si="23"/>
        <v>0</v>
      </c>
      <c r="BK20" s="312" t="b">
        <f t="shared" si="24"/>
        <v>0</v>
      </c>
      <c r="BL20" s="312" t="b">
        <f t="shared" si="60"/>
        <v>0</v>
      </c>
      <c r="BM20" s="312" t="b">
        <f t="shared" si="25"/>
        <v>1</v>
      </c>
      <c r="BN20" s="312" t="b">
        <f t="shared" si="26"/>
        <v>0</v>
      </c>
      <c r="BO20" s="312" t="b">
        <f t="shared" si="27"/>
        <v>0</v>
      </c>
      <c r="BP20" s="312" t="str">
        <f t="shared" si="28"/>
        <v>De vraag moet ingevuld worden.</v>
      </c>
      <c r="BQ20" s="312" t="str">
        <f t="shared" si="29"/>
        <v/>
      </c>
      <c r="BR20" s="312" t="str">
        <f t="shared" si="30"/>
        <v/>
      </c>
      <c r="BS20" s="312" t="str">
        <f t="shared" si="31"/>
        <v/>
      </c>
      <c r="BT20" s="312" t="str">
        <f t="shared" si="32"/>
        <v/>
      </c>
      <c r="BU20" s="312">
        <f t="shared" si="33"/>
        <v>0</v>
      </c>
      <c r="BV20" s="312" t="str">
        <f t="shared" si="61"/>
        <v>De vraag moet ingevuld worden.</v>
      </c>
      <c r="BW20" s="312" t="str">
        <f t="shared" si="34"/>
        <v/>
      </c>
      <c r="BX20" s="312" t="str">
        <f t="shared" si="35"/>
        <v>G</v>
      </c>
      <c r="BY20" s="312">
        <f t="shared" si="36"/>
        <v>234</v>
      </c>
      <c r="BZ20" s="312" t="b">
        <f t="shared" si="62"/>
        <v>0</v>
      </c>
      <c r="CA20" s="312" t="b">
        <f t="shared" si="37"/>
        <v>1</v>
      </c>
      <c r="CB20" s="312" t="b">
        <f t="shared" si="63"/>
        <v>0</v>
      </c>
      <c r="CC20" s="312" t="str">
        <f t="shared" si="38"/>
        <v>E</v>
      </c>
      <c r="CD20" s="312" t="str">
        <f t="shared" si="38"/>
        <v>(O)</v>
      </c>
      <c r="CE20" s="312" t="str">
        <f t="shared" si="38"/>
        <v>G</v>
      </c>
      <c r="CF20" s="312" t="b">
        <f t="shared" si="39"/>
        <v>0</v>
      </c>
      <c r="CG20" s="312">
        <f t="shared" si="40"/>
        <v>0</v>
      </c>
      <c r="CH20" s="312">
        <f t="shared" si="64"/>
        <v>0</v>
      </c>
      <c r="CI20" s="312">
        <v>10</v>
      </c>
      <c r="CK20" s="312" t="str">
        <f aca="true" t="shared" si="72" ref="CK20:CK25">CK19</f>
        <v>Fase 1</v>
      </c>
      <c r="CL20" s="312">
        <f t="shared" si="41"/>
        <v>1234</v>
      </c>
      <c r="CM20" s="312">
        <f t="shared" si="65"/>
        <v>4</v>
      </c>
      <c r="CN20" s="312">
        <f t="shared" si="66"/>
        <v>2</v>
      </c>
      <c r="CO20" s="312">
        <f t="shared" si="67"/>
        <v>4</v>
      </c>
    </row>
    <row r="21" spans="1:93" ht="15.75" thickBot="1">
      <c r="A21" s="451"/>
      <c r="B21" s="452"/>
      <c r="C21" s="411"/>
      <c r="D21" s="411"/>
      <c r="E21" s="472" t="s">
        <v>18</v>
      </c>
      <c r="F21" s="470" t="s">
        <v>257</v>
      </c>
      <c r="G21" s="471" t="s">
        <v>232</v>
      </c>
      <c r="H21" s="521" t="str">
        <f t="shared" si="42"/>
        <v>E</v>
      </c>
      <c r="I21" s="610" t="str">
        <f t="shared" si="43"/>
        <v>(O)</v>
      </c>
      <c r="J21" s="522" t="str">
        <f t="shared" si="44"/>
        <v>G</v>
      </c>
      <c r="K21" s="617" t="s">
        <v>216</v>
      </c>
      <c r="L21" s="618"/>
      <c r="M21" s="392"/>
      <c r="N21" s="392"/>
      <c r="O21" s="393"/>
      <c r="P21" s="394"/>
      <c r="Q21" s="395"/>
      <c r="R21" s="394">
        <f t="shared" si="45"/>
        <v>0</v>
      </c>
      <c r="S21" s="395">
        <f t="shared" si="46"/>
        <v>10</v>
      </c>
      <c r="T21" s="679"/>
      <c r="U21" s="680"/>
      <c r="V21" s="394">
        <f t="shared" si="70"/>
        <v>0</v>
      </c>
      <c r="W21" s="380">
        <f aca="true" t="shared" si="73" ref="W21:W23">IF(Q21="x",1,0)</f>
        <v>0</v>
      </c>
      <c r="X21" s="367" t="str">
        <f t="shared" si="49"/>
        <v/>
      </c>
      <c r="Y21" s="366">
        <f t="shared" si="50"/>
        <v>0</v>
      </c>
      <c r="Z21" s="368" t="str">
        <f t="shared" si="51"/>
        <v>De vraag moet ingevuld worden.</v>
      </c>
      <c r="AA21" s="369">
        <f t="shared" si="68"/>
        <v>16</v>
      </c>
      <c r="AB21" s="316">
        <f t="shared" si="0"/>
        <v>7</v>
      </c>
      <c r="AC21" s="316" t="str">
        <f t="shared" si="1"/>
        <v>Hoe ziet een projectplanning bij u eruit?</v>
      </c>
      <c r="AD21" s="316" t="str">
        <f t="shared" si="52"/>
        <v>7 Hoe ziet een projectplanning bij u eruit?</v>
      </c>
      <c r="AE21" s="316" t="str">
        <f t="shared" si="2"/>
        <v>b Projectmanagement</v>
      </c>
      <c r="AF21" s="316" t="str">
        <f t="shared" si="3"/>
        <v>7b</v>
      </c>
      <c r="AG21" s="316">
        <f t="shared" si="53"/>
        <v>0</v>
      </c>
      <c r="AH21" s="316">
        <f t="shared" si="4"/>
        <v>0</v>
      </c>
      <c r="AI21" s="316">
        <f t="shared" si="4"/>
        <v>0</v>
      </c>
      <c r="AJ21" s="316">
        <f t="shared" si="4"/>
        <v>0</v>
      </c>
      <c r="AK21" s="316">
        <f t="shared" si="54"/>
        <v>0</v>
      </c>
      <c r="AL21" s="316" t="e">
        <f t="shared" si="5"/>
        <v>#N/A</v>
      </c>
      <c r="AM21" s="316">
        <f t="shared" si="55"/>
        <v>0</v>
      </c>
      <c r="AN21" s="316">
        <f t="shared" si="56"/>
        <v>0</v>
      </c>
      <c r="AO21" s="312" t="str">
        <f t="shared" si="6"/>
        <v/>
      </c>
      <c r="AP21" s="312">
        <f t="shared" si="7"/>
        <v>0</v>
      </c>
      <c r="AQ21" s="312">
        <f t="shared" si="57"/>
        <v>0</v>
      </c>
      <c r="AR21" s="312" t="b">
        <f t="shared" si="8"/>
        <v>0</v>
      </c>
      <c r="AS21" s="312" t="b">
        <f t="shared" si="9"/>
        <v>0</v>
      </c>
      <c r="AT21" s="312" t="b">
        <f t="shared" si="10"/>
        <v>0</v>
      </c>
      <c r="AU21" s="312" t="b">
        <f t="shared" si="11"/>
        <v>0</v>
      </c>
      <c r="AV21" s="312" t="b">
        <f t="shared" si="12"/>
        <v>1</v>
      </c>
      <c r="AW21" s="312" t="b">
        <f t="shared" si="13"/>
        <v>0</v>
      </c>
      <c r="AX21" s="312">
        <f t="shared" si="14"/>
        <v>0</v>
      </c>
      <c r="AY21" s="312">
        <f t="shared" si="15"/>
        <v>10</v>
      </c>
      <c r="AZ21" s="312" t="b">
        <f t="shared" si="58"/>
        <v>0</v>
      </c>
      <c r="BA21" s="312" t="b">
        <f t="shared" si="59"/>
        <v>0</v>
      </c>
      <c r="BB21" s="312" t="b">
        <f t="shared" si="16"/>
        <v>0</v>
      </c>
      <c r="BC21" s="312" t="b">
        <f t="shared" si="17"/>
        <v>0</v>
      </c>
      <c r="BD21" s="312">
        <v>1</v>
      </c>
      <c r="BE21" s="312" t="b">
        <f t="shared" si="18"/>
        <v>0</v>
      </c>
      <c r="BF21" s="312" t="b">
        <f t="shared" si="19"/>
        <v>0</v>
      </c>
      <c r="BG21" s="312" t="b">
        <f t="shared" si="20"/>
        <v>0</v>
      </c>
      <c r="BH21" s="312" t="b">
        <f t="shared" si="21"/>
        <v>0</v>
      </c>
      <c r="BI21" s="312" t="b">
        <f t="shared" si="22"/>
        <v>0</v>
      </c>
      <c r="BJ21" s="312" t="b">
        <f t="shared" si="23"/>
        <v>0</v>
      </c>
      <c r="BK21" s="312" t="b">
        <f t="shared" si="24"/>
        <v>0</v>
      </c>
      <c r="BL21" s="312" t="b">
        <f t="shared" si="60"/>
        <v>0</v>
      </c>
      <c r="BM21" s="312" t="b">
        <f t="shared" si="25"/>
        <v>0</v>
      </c>
      <c r="BN21" s="312" t="b">
        <f t="shared" si="26"/>
        <v>1</v>
      </c>
      <c r="BO21" s="312" t="b">
        <f t="shared" si="27"/>
        <v>0</v>
      </c>
      <c r="BP21" s="312" t="str">
        <f t="shared" si="28"/>
        <v>De vraag moet ingevuld worden.</v>
      </c>
      <c r="BQ21" s="312" t="str">
        <f t="shared" si="29"/>
        <v/>
      </c>
      <c r="BR21" s="312" t="str">
        <f t="shared" si="30"/>
        <v/>
      </c>
      <c r="BS21" s="312" t="str">
        <f t="shared" si="31"/>
        <v/>
      </c>
      <c r="BT21" s="312" t="str">
        <f t="shared" si="32"/>
        <v/>
      </c>
      <c r="BU21" s="312">
        <f t="shared" si="33"/>
        <v>0</v>
      </c>
      <c r="BV21" s="312" t="str">
        <f t="shared" si="61"/>
        <v>De vraag moet ingevuld worden.</v>
      </c>
      <c r="BW21" s="312" t="str">
        <f t="shared" si="34"/>
        <v/>
      </c>
      <c r="BX21" s="312" t="str">
        <f t="shared" si="35"/>
        <v>G</v>
      </c>
      <c r="BY21" s="312">
        <f t="shared" si="36"/>
        <v>234</v>
      </c>
      <c r="BZ21" s="312" t="b">
        <f t="shared" si="62"/>
        <v>0</v>
      </c>
      <c r="CA21" s="312" t="b">
        <f t="shared" si="37"/>
        <v>1</v>
      </c>
      <c r="CB21" s="312" t="b">
        <f t="shared" si="63"/>
        <v>0</v>
      </c>
      <c r="CC21" s="312" t="str">
        <f t="shared" si="38"/>
        <v>E</v>
      </c>
      <c r="CD21" s="312" t="str">
        <f t="shared" si="38"/>
        <v>(O)</v>
      </c>
      <c r="CE21" s="312" t="str">
        <f t="shared" si="38"/>
        <v>G</v>
      </c>
      <c r="CF21" s="312" t="b">
        <f t="shared" si="39"/>
        <v>0</v>
      </c>
      <c r="CG21" s="312">
        <f t="shared" si="40"/>
        <v>0</v>
      </c>
      <c r="CH21" s="312">
        <f t="shared" si="64"/>
        <v>0</v>
      </c>
      <c r="CJ21" s="312">
        <v>10</v>
      </c>
      <c r="CK21" s="312" t="str">
        <f t="shared" si="72"/>
        <v>Fase 1</v>
      </c>
      <c r="CL21" s="312">
        <f t="shared" si="41"/>
        <v>1234</v>
      </c>
      <c r="CM21" s="312">
        <f t="shared" si="65"/>
        <v>4</v>
      </c>
      <c r="CN21" s="312">
        <f t="shared" si="66"/>
        <v>2</v>
      </c>
      <c r="CO21" s="312">
        <f t="shared" si="67"/>
        <v>4</v>
      </c>
    </row>
    <row r="22" spans="1:93" ht="30.75" thickBot="1">
      <c r="A22" s="453"/>
      <c r="B22" s="454"/>
      <c r="C22" s="376">
        <v>8</v>
      </c>
      <c r="D22" s="412" t="s">
        <v>258</v>
      </c>
      <c r="E22" s="463" t="s">
        <v>17</v>
      </c>
      <c r="F22" s="476" t="s">
        <v>544</v>
      </c>
      <c r="G22" s="465" t="s">
        <v>545</v>
      </c>
      <c r="H22" s="520" t="str">
        <f t="shared" si="42"/>
        <v>E</v>
      </c>
      <c r="I22" s="609" t="str">
        <f t="shared" si="43"/>
        <v>(O)</v>
      </c>
      <c r="J22" s="517" t="str">
        <f t="shared" si="44"/>
        <v>G</v>
      </c>
      <c r="K22" s="613" t="s">
        <v>216</v>
      </c>
      <c r="L22" s="614"/>
      <c r="M22" s="377"/>
      <c r="N22" s="377"/>
      <c r="O22" s="378"/>
      <c r="P22" s="379"/>
      <c r="Q22" s="380"/>
      <c r="R22" s="379">
        <f t="shared" si="45"/>
        <v>0</v>
      </c>
      <c r="S22" s="380">
        <f t="shared" si="46"/>
        <v>20</v>
      </c>
      <c r="T22" s="673">
        <f>SUMIF($AV22:$AV25,TRUE,R22:R25)</f>
        <v>20</v>
      </c>
      <c r="U22" s="675">
        <f>SUMIF($AV22:$AV25,TRUE,S22:S25)</f>
        <v>40</v>
      </c>
      <c r="V22" s="379">
        <f t="shared" si="70"/>
        <v>0</v>
      </c>
      <c r="W22" s="380">
        <f t="shared" si="73"/>
        <v>0</v>
      </c>
      <c r="X22" s="367" t="str">
        <f t="shared" si="49"/>
        <v/>
      </c>
      <c r="Y22" s="366">
        <f t="shared" si="50"/>
        <v>0</v>
      </c>
      <c r="Z22" s="368" t="str">
        <f t="shared" si="51"/>
        <v>De vraag moet ingevuld worden.</v>
      </c>
      <c r="AA22" s="369">
        <f t="shared" si="68"/>
        <v>17</v>
      </c>
      <c r="AB22" s="316">
        <f t="shared" si="0"/>
        <v>8</v>
      </c>
      <c r="AC22" s="316" t="str">
        <f t="shared" si="1"/>
        <v>Welke projectoverstijgende afspraken maakt u met ketenpartijen?</v>
      </c>
      <c r="AD22" s="316" t="str">
        <f t="shared" si="52"/>
        <v>8 Welke projectoverstijgende afspraken maakt u met ketenpartijen?</v>
      </c>
      <c r="AE22" s="316" t="str">
        <f t="shared" si="2"/>
        <v>a Inkooprisico</v>
      </c>
      <c r="AF22" s="316" t="str">
        <f t="shared" si="3"/>
        <v>8a</v>
      </c>
      <c r="AG22" s="316">
        <f t="shared" si="53"/>
        <v>0</v>
      </c>
      <c r="AH22" s="316">
        <f t="shared" si="53"/>
        <v>0</v>
      </c>
      <c r="AI22" s="316">
        <f t="shared" si="53"/>
        <v>0</v>
      </c>
      <c r="AJ22" s="316">
        <f t="shared" si="53"/>
        <v>0</v>
      </c>
      <c r="AK22" s="316">
        <f t="shared" si="54"/>
        <v>0</v>
      </c>
      <c r="AL22" s="316" t="e">
        <f t="shared" si="5"/>
        <v>#N/A</v>
      </c>
      <c r="AM22" s="316">
        <f t="shared" si="55"/>
        <v>0</v>
      </c>
      <c r="AN22" s="316">
        <f t="shared" si="56"/>
        <v>0</v>
      </c>
      <c r="AO22" s="312" t="str">
        <f t="shared" si="6"/>
        <v/>
      </c>
      <c r="AP22" s="312">
        <f t="shared" si="7"/>
        <v>0</v>
      </c>
      <c r="AQ22" s="312">
        <f t="shared" si="57"/>
        <v>0</v>
      </c>
      <c r="AR22" s="312" t="b">
        <f t="shared" si="8"/>
        <v>0</v>
      </c>
      <c r="AS22" s="312" t="b">
        <f t="shared" si="9"/>
        <v>0</v>
      </c>
      <c r="AT22" s="312" t="b">
        <f t="shared" si="10"/>
        <v>0</v>
      </c>
      <c r="AU22" s="312" t="b">
        <f t="shared" si="11"/>
        <v>0</v>
      </c>
      <c r="AV22" s="312" t="b">
        <f t="shared" si="12"/>
        <v>1</v>
      </c>
      <c r="AW22" s="312" t="b">
        <f t="shared" si="13"/>
        <v>0</v>
      </c>
      <c r="AX22" s="312">
        <f t="shared" si="14"/>
        <v>0</v>
      </c>
      <c r="AY22" s="312">
        <f t="shared" si="15"/>
        <v>20</v>
      </c>
      <c r="AZ22" s="312" t="b">
        <f t="shared" si="58"/>
        <v>0</v>
      </c>
      <c r="BA22" s="312" t="b">
        <f t="shared" si="59"/>
        <v>0</v>
      </c>
      <c r="BB22" s="312" t="b">
        <f t="shared" si="16"/>
        <v>0</v>
      </c>
      <c r="BC22" s="312" t="b">
        <f t="shared" si="17"/>
        <v>0</v>
      </c>
      <c r="BD22" s="312">
        <v>1</v>
      </c>
      <c r="BE22" s="312" t="b">
        <f t="shared" si="18"/>
        <v>0</v>
      </c>
      <c r="BF22" s="312" t="b">
        <f t="shared" si="19"/>
        <v>0</v>
      </c>
      <c r="BG22" s="312" t="b">
        <f t="shared" si="20"/>
        <v>0</v>
      </c>
      <c r="BH22" s="312" t="b">
        <f t="shared" si="21"/>
        <v>0</v>
      </c>
      <c r="BI22" s="312" t="b">
        <f t="shared" si="22"/>
        <v>0</v>
      </c>
      <c r="BJ22" s="312" t="b">
        <f t="shared" si="23"/>
        <v>0</v>
      </c>
      <c r="BK22" s="312" t="b">
        <f t="shared" si="24"/>
        <v>0</v>
      </c>
      <c r="BL22" s="312" t="b">
        <f t="shared" si="60"/>
        <v>0</v>
      </c>
      <c r="BM22" s="312" t="b">
        <f t="shared" si="25"/>
        <v>0</v>
      </c>
      <c r="BN22" s="312" t="b">
        <f t="shared" si="26"/>
        <v>1</v>
      </c>
      <c r="BO22" s="312" t="b">
        <f t="shared" si="27"/>
        <v>0</v>
      </c>
      <c r="BP22" s="312" t="str">
        <f t="shared" si="28"/>
        <v>De vraag moet ingevuld worden.</v>
      </c>
      <c r="BQ22" s="312" t="str">
        <f t="shared" si="29"/>
        <v/>
      </c>
      <c r="BR22" s="312" t="str">
        <f t="shared" si="30"/>
        <v/>
      </c>
      <c r="BS22" s="312" t="str">
        <f t="shared" si="31"/>
        <v/>
      </c>
      <c r="BT22" s="312" t="str">
        <f t="shared" si="32"/>
        <v/>
      </c>
      <c r="BU22" s="312">
        <f t="shared" si="33"/>
        <v>0</v>
      </c>
      <c r="BV22" s="312" t="str">
        <f t="shared" si="61"/>
        <v>De vraag moet ingevuld worden.</v>
      </c>
      <c r="BW22" s="312" t="str">
        <f t="shared" si="34"/>
        <v/>
      </c>
      <c r="BX22" s="312" t="str">
        <f t="shared" si="35"/>
        <v>G</v>
      </c>
      <c r="BY22" s="312">
        <f t="shared" si="36"/>
        <v>234</v>
      </c>
      <c r="BZ22" s="312" t="b">
        <f t="shared" si="62"/>
        <v>0</v>
      </c>
      <c r="CA22" s="312" t="b">
        <f t="shared" si="37"/>
        <v>1</v>
      </c>
      <c r="CB22" s="312" t="b">
        <f t="shared" si="63"/>
        <v>0</v>
      </c>
      <c r="CC22" s="312" t="str">
        <f t="shared" si="38"/>
        <v>E</v>
      </c>
      <c r="CD22" s="312" t="str">
        <f t="shared" si="38"/>
        <v>(O)</v>
      </c>
      <c r="CE22" s="312" t="str">
        <f t="shared" si="38"/>
        <v>G</v>
      </c>
      <c r="CF22" s="312" t="b">
        <f t="shared" si="39"/>
        <v>0</v>
      </c>
      <c r="CG22" s="312">
        <f t="shared" si="40"/>
        <v>0</v>
      </c>
      <c r="CH22" s="312">
        <f t="shared" si="64"/>
        <v>0</v>
      </c>
      <c r="CJ22" s="312">
        <v>20</v>
      </c>
      <c r="CK22" s="312" t="str">
        <f t="shared" si="72"/>
        <v>Fase 1</v>
      </c>
      <c r="CL22" s="312">
        <f t="shared" si="41"/>
        <v>1234</v>
      </c>
      <c r="CM22" s="312">
        <f t="shared" si="65"/>
        <v>4</v>
      </c>
      <c r="CN22" s="312">
        <f t="shared" si="66"/>
        <v>2</v>
      </c>
      <c r="CO22" s="312">
        <f t="shared" si="67"/>
        <v>4</v>
      </c>
    </row>
    <row r="23" spans="1:93" ht="15">
      <c r="A23" s="449"/>
      <c r="B23" s="450"/>
      <c r="C23" s="385"/>
      <c r="D23" s="405"/>
      <c r="E23" s="458" t="s">
        <v>18</v>
      </c>
      <c r="F23" s="477" t="s">
        <v>259</v>
      </c>
      <c r="G23" s="478" t="s">
        <v>260</v>
      </c>
      <c r="H23" s="516" t="str">
        <f t="shared" si="42"/>
        <v>E</v>
      </c>
      <c r="I23" s="612" t="str">
        <f t="shared" si="43"/>
        <v>(O)</v>
      </c>
      <c r="J23" s="519" t="str">
        <f t="shared" si="44"/>
        <v>E</v>
      </c>
      <c r="K23" s="615" t="s">
        <v>215</v>
      </c>
      <c r="L23" s="619"/>
      <c r="M23" s="382"/>
      <c r="N23" s="382"/>
      <c r="O23" s="383"/>
      <c r="P23" s="375"/>
      <c r="Q23" s="384"/>
      <c r="R23" s="375">
        <f t="shared" si="45"/>
        <v>10</v>
      </c>
      <c r="S23" s="384">
        <f t="shared" si="46"/>
        <v>0</v>
      </c>
      <c r="T23" s="674"/>
      <c r="U23" s="676"/>
      <c r="V23" s="375">
        <f t="shared" si="70"/>
        <v>0</v>
      </c>
      <c r="W23" s="380">
        <f t="shared" si="73"/>
        <v>0</v>
      </c>
      <c r="X23" s="367">
        <f t="shared" si="49"/>
        <v>0</v>
      </c>
      <c r="Y23" s="366" t="str">
        <f t="shared" si="50"/>
        <v/>
      </c>
      <c r="Z23" s="368" t="str">
        <f t="shared" si="51"/>
        <v>De vraag moet ingevuld worden.</v>
      </c>
      <c r="AA23" s="369">
        <f t="shared" si="68"/>
        <v>18</v>
      </c>
      <c r="AB23" s="316">
        <f t="shared" si="0"/>
        <v>8</v>
      </c>
      <c r="AC23" s="316" t="str">
        <f t="shared" si="1"/>
        <v>Welke projectoverstijgende afspraken maakt u met ketenpartijen?</v>
      </c>
      <c r="AD23" s="316" t="str">
        <f t="shared" si="52"/>
        <v>8 Welke projectoverstijgende afspraken maakt u met ketenpartijen?</v>
      </c>
      <c r="AE23" s="316" t="str">
        <f t="shared" si="2"/>
        <v>b Raam- of intentie overeenkomst Klant (OG)</v>
      </c>
      <c r="AF23" s="316" t="str">
        <f t="shared" si="3"/>
        <v>8b</v>
      </c>
      <c r="AG23" s="316">
        <f t="shared" si="53"/>
        <v>0</v>
      </c>
      <c r="AH23" s="316">
        <f t="shared" si="53"/>
        <v>0</v>
      </c>
      <c r="AI23" s="316">
        <f t="shared" si="53"/>
        <v>0</v>
      </c>
      <c r="AJ23" s="316">
        <f t="shared" si="53"/>
        <v>0</v>
      </c>
      <c r="AK23" s="316">
        <f t="shared" si="54"/>
        <v>0</v>
      </c>
      <c r="AL23" s="316" t="e">
        <f t="shared" si="5"/>
        <v>#N/A</v>
      </c>
      <c r="AM23" s="316">
        <f t="shared" si="55"/>
        <v>0</v>
      </c>
      <c r="AN23" s="316">
        <f t="shared" si="56"/>
        <v>10</v>
      </c>
      <c r="AO23" s="312">
        <f t="shared" si="6"/>
        <v>0</v>
      </c>
      <c r="AP23" s="312" t="str">
        <f t="shared" si="7"/>
        <v/>
      </c>
      <c r="AQ23" s="312">
        <f t="shared" si="57"/>
        <v>0</v>
      </c>
      <c r="AR23" s="312" t="b">
        <f t="shared" si="8"/>
        <v>0</v>
      </c>
      <c r="AS23" s="312" t="b">
        <f t="shared" si="9"/>
        <v>0</v>
      </c>
      <c r="AT23" s="312" t="b">
        <f t="shared" si="10"/>
        <v>0</v>
      </c>
      <c r="AU23" s="312" t="b">
        <f t="shared" si="11"/>
        <v>0</v>
      </c>
      <c r="AV23" s="312" t="b">
        <f t="shared" si="12"/>
        <v>1</v>
      </c>
      <c r="AW23" s="312" t="b">
        <f t="shared" si="13"/>
        <v>0</v>
      </c>
      <c r="AX23" s="312">
        <f t="shared" si="14"/>
        <v>10</v>
      </c>
      <c r="AY23" s="312">
        <f t="shared" si="15"/>
        <v>0</v>
      </c>
      <c r="AZ23" s="312" t="b">
        <f t="shared" si="58"/>
        <v>0</v>
      </c>
      <c r="BA23" s="312" t="b">
        <f t="shared" si="59"/>
        <v>0</v>
      </c>
      <c r="BB23" s="312" t="b">
        <f t="shared" si="16"/>
        <v>0</v>
      </c>
      <c r="BC23" s="312" t="b">
        <f t="shared" si="17"/>
        <v>0</v>
      </c>
      <c r="BD23" s="312">
        <v>1</v>
      </c>
      <c r="BE23" s="312" t="b">
        <f t="shared" si="18"/>
        <v>0</v>
      </c>
      <c r="BF23" s="312" t="b">
        <f t="shared" si="19"/>
        <v>0</v>
      </c>
      <c r="BG23" s="312" t="b">
        <f t="shared" si="20"/>
        <v>0</v>
      </c>
      <c r="BH23" s="312" t="b">
        <f t="shared" si="21"/>
        <v>0</v>
      </c>
      <c r="BI23" s="312" t="b">
        <f t="shared" si="22"/>
        <v>0</v>
      </c>
      <c r="BJ23" s="312" t="b">
        <f t="shared" si="23"/>
        <v>0</v>
      </c>
      <c r="BK23" s="312" t="b">
        <f t="shared" si="24"/>
        <v>0</v>
      </c>
      <c r="BL23" s="312" t="b">
        <f t="shared" si="60"/>
        <v>0</v>
      </c>
      <c r="BM23" s="312" t="b">
        <f t="shared" si="25"/>
        <v>1</v>
      </c>
      <c r="BN23" s="312" t="b">
        <f t="shared" si="26"/>
        <v>0</v>
      </c>
      <c r="BO23" s="312" t="b">
        <f t="shared" si="27"/>
        <v>0</v>
      </c>
      <c r="BP23" s="312" t="str">
        <f t="shared" si="28"/>
        <v>De vraag moet ingevuld worden.</v>
      </c>
      <c r="BQ23" s="312" t="str">
        <f t="shared" si="29"/>
        <v/>
      </c>
      <c r="BR23" s="312" t="str">
        <f t="shared" si="30"/>
        <v/>
      </c>
      <c r="BS23" s="312" t="str">
        <f t="shared" si="31"/>
        <v/>
      </c>
      <c r="BT23" s="312" t="str">
        <f t="shared" si="32"/>
        <v/>
      </c>
      <c r="BU23" s="312">
        <f t="shared" si="33"/>
        <v>0</v>
      </c>
      <c r="BV23" s="312" t="str">
        <f t="shared" si="61"/>
        <v>De vraag moet ingevuld worden.</v>
      </c>
      <c r="BW23" s="312" t="str">
        <f t="shared" si="34"/>
        <v/>
      </c>
      <c r="BX23" s="312" t="str">
        <f t="shared" si="35"/>
        <v>E</v>
      </c>
      <c r="BY23" s="312">
        <f t="shared" si="36"/>
        <v>1234</v>
      </c>
      <c r="BZ23" s="312" t="b">
        <f t="shared" si="62"/>
        <v>0</v>
      </c>
      <c r="CA23" s="312" t="b">
        <f t="shared" si="37"/>
        <v>1</v>
      </c>
      <c r="CB23" s="312" t="b">
        <f t="shared" si="63"/>
        <v>0</v>
      </c>
      <c r="CC23" s="312" t="str">
        <f t="shared" si="38"/>
        <v>E</v>
      </c>
      <c r="CD23" s="312" t="str">
        <f t="shared" si="38"/>
        <v>(O)</v>
      </c>
      <c r="CE23" s="312" t="str">
        <f t="shared" si="38"/>
        <v>E</v>
      </c>
      <c r="CF23" s="312" t="b">
        <f t="shared" si="39"/>
        <v>0</v>
      </c>
      <c r="CG23" s="312">
        <f t="shared" si="40"/>
        <v>0</v>
      </c>
      <c r="CH23" s="312">
        <f t="shared" si="64"/>
        <v>0</v>
      </c>
      <c r="CI23" s="312">
        <v>10</v>
      </c>
      <c r="CK23" s="312" t="str">
        <f t="shared" si="72"/>
        <v>Fase 1</v>
      </c>
      <c r="CL23" s="312">
        <f t="shared" si="41"/>
        <v>1234</v>
      </c>
      <c r="CM23" s="312">
        <f t="shared" si="65"/>
        <v>4</v>
      </c>
      <c r="CN23" s="312">
        <f t="shared" si="66"/>
        <v>1</v>
      </c>
      <c r="CO23" s="312">
        <f t="shared" si="67"/>
        <v>4</v>
      </c>
    </row>
    <row r="24" spans="1:93" ht="15">
      <c r="A24" s="449"/>
      <c r="B24" s="450"/>
      <c r="C24" s="385"/>
      <c r="D24" s="405"/>
      <c r="E24" s="466" t="s">
        <v>19</v>
      </c>
      <c r="F24" s="467" t="s">
        <v>261</v>
      </c>
      <c r="G24" s="468" t="s">
        <v>262</v>
      </c>
      <c r="H24" s="518" t="str">
        <f t="shared" si="42"/>
        <v>E</v>
      </c>
      <c r="I24" s="532" t="str">
        <f aca="true" t="shared" si="74" ref="I24">CD24</f>
        <v>G</v>
      </c>
      <c r="J24" s="523" t="str">
        <f aca="true" t="shared" si="75" ref="J24">CE24</f>
        <v>G</v>
      </c>
      <c r="K24" s="534" t="s">
        <v>215</v>
      </c>
      <c r="L24" s="619"/>
      <c r="M24" s="386"/>
      <c r="N24" s="386"/>
      <c r="O24" s="387"/>
      <c r="P24" s="388"/>
      <c r="Q24" s="389"/>
      <c r="R24" s="388">
        <f t="shared" si="45"/>
        <v>10</v>
      </c>
      <c r="S24" s="389">
        <f t="shared" si="46"/>
        <v>0</v>
      </c>
      <c r="T24" s="674"/>
      <c r="U24" s="676"/>
      <c r="V24" s="388"/>
      <c r="W24" s="389"/>
      <c r="X24" s="367">
        <f t="shared" si="49"/>
        <v>0</v>
      </c>
      <c r="Y24" s="366" t="str">
        <f t="shared" si="50"/>
        <v/>
      </c>
      <c r="Z24" s="368" t="str">
        <f aca="true" t="shared" si="76" ref="Z24">BV24</f>
        <v>De vraag moet ingevuld worden.</v>
      </c>
      <c r="AA24" s="369">
        <f t="shared" si="68"/>
        <v>19</v>
      </c>
      <c r="AB24" s="316">
        <f aca="true" t="shared" si="77" ref="AB24">IF(C24="",AB23,C24)</f>
        <v>8</v>
      </c>
      <c r="AC24" s="316" t="str">
        <f aca="true" t="shared" si="78" ref="AC24">IF(D24="",AC23,D24)</f>
        <v>Welke projectoverstijgende afspraken maakt u met ketenpartijen?</v>
      </c>
      <c r="AD24" s="316" t="str">
        <f aca="true" t="shared" si="79" ref="AD24">AB24&amp;" "&amp;AC24</f>
        <v>8 Welke projectoverstijgende afspraken maakt u met ketenpartijen?</v>
      </c>
      <c r="AE24" s="316" t="str">
        <f aca="true" t="shared" si="80" ref="AE24">E24&amp;" "&amp;F24</f>
        <v>c Raamovereenkomst Partners en leveranciers</v>
      </c>
      <c r="AF24" s="316" t="str">
        <f aca="true" t="shared" si="81" ref="AF24">AB24&amp;E24</f>
        <v>8c</v>
      </c>
      <c r="AG24" s="316">
        <f t="shared" si="53"/>
        <v>0</v>
      </c>
      <c r="AH24" s="316">
        <f t="shared" si="53"/>
        <v>0</v>
      </c>
      <c r="AI24" s="316">
        <f t="shared" si="53"/>
        <v>0</v>
      </c>
      <c r="AJ24" s="316">
        <f t="shared" si="53"/>
        <v>0</v>
      </c>
      <c r="AK24" s="316">
        <f aca="true" t="shared" si="82" ref="AK24">L24</f>
        <v>0</v>
      </c>
      <c r="AL24" s="316" t="e">
        <f t="shared" si="5"/>
        <v>#N/A</v>
      </c>
      <c r="AM24" s="316">
        <f aca="true" t="shared" si="83" ref="AM24">IF(ISNA(AL24),0,AL24)</f>
        <v>0</v>
      </c>
      <c r="AN24" s="316">
        <f t="shared" si="56"/>
        <v>10</v>
      </c>
      <c r="AO24" s="312">
        <f t="shared" si="6"/>
        <v>0</v>
      </c>
      <c r="AP24" s="312" t="str">
        <f t="shared" si="7"/>
        <v/>
      </c>
      <c r="AQ24" s="312">
        <f aca="true" t="shared" si="84" ref="AQ24">SUM(AO24:AP24)</f>
        <v>0</v>
      </c>
      <c r="AR24" s="312" t="b">
        <f t="shared" si="8"/>
        <v>0</v>
      </c>
      <c r="AS24" s="312" t="b">
        <f t="shared" si="9"/>
        <v>1</v>
      </c>
      <c r="AT24" s="312" t="b">
        <f t="shared" si="10"/>
        <v>0</v>
      </c>
      <c r="AU24" s="312" t="b">
        <f aca="true" t="shared" si="85" ref="AU24">NOT(ISERROR(FIND(TEXT(AK24,"0"),TEXT(VLOOKUP($AF24,scores_mogelijk,vragen_uma_kolom_gekozen,FALSE),"0"))))</f>
        <v>0</v>
      </c>
      <c r="AV24" s="312" t="b">
        <f t="shared" si="12"/>
        <v>1</v>
      </c>
      <c r="AW24" s="312" t="b">
        <f t="shared" si="13"/>
        <v>0</v>
      </c>
      <c r="AX24" s="312">
        <f aca="true" t="shared" si="86" ref="AX24">AV24*R24</f>
        <v>10</v>
      </c>
      <c r="AY24" s="312">
        <f aca="true" t="shared" si="87" ref="AY24">AV24*S24</f>
        <v>0</v>
      </c>
      <c r="AZ24" s="312" t="b">
        <f t="shared" si="58"/>
        <v>0</v>
      </c>
      <c r="BA24" s="312" t="b">
        <f aca="true" t="shared" si="88" ref="BA24">AND(AV24,AR24,AU24)</f>
        <v>0</v>
      </c>
      <c r="BB24" s="312" t="b">
        <f t="shared" si="16"/>
        <v>0</v>
      </c>
      <c r="BC24" s="312" t="b">
        <f t="shared" si="17"/>
        <v>0</v>
      </c>
      <c r="BD24" s="312">
        <v>1</v>
      </c>
      <c r="BE24" s="312" t="b">
        <f t="shared" si="18"/>
        <v>0</v>
      </c>
      <c r="BF24" s="312" t="b">
        <f t="shared" si="19"/>
        <v>1</v>
      </c>
      <c r="BG24" s="312" t="b">
        <f t="shared" si="20"/>
        <v>0</v>
      </c>
      <c r="BH24" s="312" t="b">
        <f t="shared" si="21"/>
        <v>0</v>
      </c>
      <c r="BI24" s="312" t="b">
        <f t="shared" si="22"/>
        <v>1</v>
      </c>
      <c r="BJ24" s="312" t="b">
        <f t="shared" si="23"/>
        <v>0</v>
      </c>
      <c r="BK24" s="312" t="b">
        <f t="shared" si="24"/>
        <v>0</v>
      </c>
      <c r="BL24" s="312" t="b">
        <f t="shared" si="60"/>
        <v>0</v>
      </c>
      <c r="BM24" s="312" t="b">
        <f t="shared" si="25"/>
        <v>1</v>
      </c>
      <c r="BN24" s="312" t="b">
        <f t="shared" si="26"/>
        <v>0</v>
      </c>
      <c r="BO24" s="312" t="b">
        <f t="shared" si="27"/>
        <v>0</v>
      </c>
      <c r="BP24" s="312" t="str">
        <f aca="true" t="shared" si="89" ref="BP24">IF(BO24,"",vraag_voorwaarde_ingevuld)</f>
        <v>De vraag moet ingevuld worden.</v>
      </c>
      <c r="BQ24" s="312" t="str">
        <f t="shared" si="29"/>
        <v/>
      </c>
      <c r="BR24" s="312" t="str">
        <f t="shared" si="30"/>
        <v>Deze vraag moet minimaal antwoord 2, 3 of 4 hebben.</v>
      </c>
      <c r="BS24" s="312" t="str">
        <f t="shared" si="31"/>
        <v/>
      </c>
      <c r="BT24" s="312" t="str">
        <f t="shared" si="32"/>
        <v/>
      </c>
      <c r="BU24" s="312" t="str">
        <f t="shared" si="33"/>
        <v/>
      </c>
      <c r="BV24" s="312" t="str">
        <f t="shared" si="61"/>
        <v>De vraag moet ingevuld worden.</v>
      </c>
      <c r="BW24" s="312" t="str">
        <f t="shared" si="34"/>
        <v/>
      </c>
      <c r="BX24" s="312" t="str">
        <f t="shared" si="35"/>
        <v/>
      </c>
      <c r="BY24" s="312" t="str">
        <f t="shared" si="36"/>
        <v/>
      </c>
      <c r="BZ24" s="312" t="b">
        <f t="shared" si="62"/>
        <v>1</v>
      </c>
      <c r="CA24" s="312" t="b">
        <f t="shared" si="37"/>
        <v>0</v>
      </c>
      <c r="CB24" s="312" t="b">
        <f t="shared" si="63"/>
        <v>0</v>
      </c>
      <c r="CC24" s="312" t="str">
        <f t="shared" si="38"/>
        <v>E</v>
      </c>
      <c r="CD24" s="312" t="str">
        <f t="shared" si="38"/>
        <v>G</v>
      </c>
      <c r="CE24" s="312" t="str">
        <f t="shared" si="38"/>
        <v>G</v>
      </c>
      <c r="CF24" s="312" t="b">
        <f t="shared" si="39"/>
        <v>0</v>
      </c>
      <c r="CG24" s="312">
        <f t="shared" si="40"/>
        <v>0</v>
      </c>
      <c r="CH24" s="312">
        <f t="shared" si="64"/>
        <v>0</v>
      </c>
      <c r="CI24" s="312">
        <v>10</v>
      </c>
      <c r="CK24" s="312" t="str">
        <f t="shared" si="72"/>
        <v>Fase 1</v>
      </c>
      <c r="CL24" s="312">
        <f t="shared" si="41"/>
        <v>234</v>
      </c>
      <c r="CM24" s="312">
        <f t="shared" si="65"/>
        <v>4</v>
      </c>
      <c r="CN24" s="312">
        <f t="shared" si="66"/>
        <v>2</v>
      </c>
      <c r="CO24" s="312">
        <f t="shared" si="67"/>
        <v>4</v>
      </c>
    </row>
    <row r="25" spans="1:93" ht="15.75" thickBot="1">
      <c r="A25" s="598" t="str">
        <f>A18</f>
        <v>Fase 1</v>
      </c>
      <c r="B25" s="536" t="str">
        <f>B18</f>
        <v>Initiatieffase</v>
      </c>
      <c r="C25" s="601">
        <f>C22</f>
        <v>8</v>
      </c>
      <c r="D25" s="602" t="str">
        <f>D22</f>
        <v>Welke projectoverstijgende afspraken maakt u met ketenpartijen?</v>
      </c>
      <c r="E25" s="472" t="s">
        <v>20</v>
      </c>
      <c r="F25" s="470" t="s">
        <v>263</v>
      </c>
      <c r="G25" s="471" t="s">
        <v>264</v>
      </c>
      <c r="H25" s="521" t="str">
        <f t="shared" si="42"/>
        <v>E</v>
      </c>
      <c r="I25" s="524" t="str">
        <f t="shared" si="43"/>
        <v>G</v>
      </c>
      <c r="J25" s="522" t="str">
        <f t="shared" si="44"/>
        <v>G</v>
      </c>
      <c r="K25" s="617" t="s">
        <v>216</v>
      </c>
      <c r="L25" s="618"/>
      <c r="M25" s="392"/>
      <c r="N25" s="392"/>
      <c r="O25" s="393"/>
      <c r="P25" s="394"/>
      <c r="Q25" s="395"/>
      <c r="R25" s="394">
        <f t="shared" si="45"/>
        <v>0</v>
      </c>
      <c r="S25" s="395">
        <f t="shared" si="46"/>
        <v>20</v>
      </c>
      <c r="T25" s="679"/>
      <c r="U25" s="680"/>
      <c r="V25" s="394">
        <f t="shared" si="70"/>
        <v>0</v>
      </c>
      <c r="W25" s="395">
        <f>IF(Q25="x",1,0)</f>
        <v>0</v>
      </c>
      <c r="X25" s="367" t="str">
        <f t="shared" si="49"/>
        <v/>
      </c>
      <c r="Y25" s="366">
        <f t="shared" si="50"/>
        <v>0</v>
      </c>
      <c r="Z25" s="368" t="str">
        <f t="shared" si="51"/>
        <v>De vraag moet ingevuld worden.</v>
      </c>
      <c r="AA25" s="369">
        <f t="shared" si="68"/>
        <v>20</v>
      </c>
      <c r="AB25" s="316">
        <f>IF(C25="",AB24,C25)</f>
        <v>8</v>
      </c>
      <c r="AC25" s="316" t="str">
        <f>IF(D25="",AC23,D25)</f>
        <v>Welke projectoverstijgende afspraken maakt u met ketenpartijen?</v>
      </c>
      <c r="AD25" s="316" t="str">
        <f t="shared" si="52"/>
        <v>8 Welke projectoverstijgende afspraken maakt u met ketenpartijen?</v>
      </c>
      <c r="AE25" s="316" t="str">
        <f t="shared" si="2"/>
        <v>d Functioneel specificeren</v>
      </c>
      <c r="AF25" s="316" t="str">
        <f t="shared" si="3"/>
        <v>8d</v>
      </c>
      <c r="AG25" s="316">
        <f t="shared" si="53"/>
        <v>0</v>
      </c>
      <c r="AH25" s="316">
        <f t="shared" si="53"/>
        <v>0</v>
      </c>
      <c r="AI25" s="316">
        <f t="shared" si="53"/>
        <v>0</v>
      </c>
      <c r="AJ25" s="316">
        <f t="shared" si="53"/>
        <v>0</v>
      </c>
      <c r="AK25" s="316">
        <f t="shared" si="54"/>
        <v>0</v>
      </c>
      <c r="AL25" s="316" t="e">
        <f t="shared" si="5"/>
        <v>#N/A</v>
      </c>
      <c r="AM25" s="316">
        <f t="shared" si="55"/>
        <v>0</v>
      </c>
      <c r="AN25" s="316">
        <f t="shared" si="56"/>
        <v>0</v>
      </c>
      <c r="AO25" s="312" t="str">
        <f t="shared" si="6"/>
        <v/>
      </c>
      <c r="AP25" s="312">
        <f t="shared" si="7"/>
        <v>0</v>
      </c>
      <c r="AQ25" s="312">
        <f t="shared" si="57"/>
        <v>0</v>
      </c>
      <c r="AR25" s="312" t="b">
        <f t="shared" si="8"/>
        <v>0</v>
      </c>
      <c r="AS25" s="312" t="b">
        <f t="shared" si="9"/>
        <v>1</v>
      </c>
      <c r="AT25" s="312" t="b">
        <f t="shared" si="10"/>
        <v>0</v>
      </c>
      <c r="AU25" s="312" t="b">
        <f t="shared" si="11"/>
        <v>0</v>
      </c>
      <c r="AV25" s="312" t="b">
        <f t="shared" si="12"/>
        <v>1</v>
      </c>
      <c r="AW25" s="312" t="b">
        <f t="shared" si="13"/>
        <v>0</v>
      </c>
      <c r="AX25" s="312">
        <f t="shared" si="14"/>
        <v>0</v>
      </c>
      <c r="AY25" s="312">
        <f t="shared" si="15"/>
        <v>20</v>
      </c>
      <c r="AZ25" s="312" t="b">
        <f t="shared" si="58"/>
        <v>0</v>
      </c>
      <c r="BA25" s="312" t="b">
        <f t="shared" si="59"/>
        <v>0</v>
      </c>
      <c r="BB25" s="312" t="b">
        <f t="shared" si="16"/>
        <v>0</v>
      </c>
      <c r="BC25" s="312" t="b">
        <f t="shared" si="17"/>
        <v>0</v>
      </c>
      <c r="BD25" s="312">
        <v>1</v>
      </c>
      <c r="BE25" s="312" t="b">
        <f t="shared" si="18"/>
        <v>0</v>
      </c>
      <c r="BF25" s="312" t="b">
        <f t="shared" si="19"/>
        <v>1</v>
      </c>
      <c r="BG25" s="312" t="b">
        <f t="shared" si="20"/>
        <v>0</v>
      </c>
      <c r="BH25" s="312" t="b">
        <f t="shared" si="21"/>
        <v>0</v>
      </c>
      <c r="BI25" s="312" t="b">
        <f t="shared" si="22"/>
        <v>1</v>
      </c>
      <c r="BJ25" s="312" t="b">
        <f t="shared" si="23"/>
        <v>0</v>
      </c>
      <c r="BK25" s="312" t="b">
        <f t="shared" si="24"/>
        <v>0</v>
      </c>
      <c r="BL25" s="312" t="b">
        <f t="shared" si="60"/>
        <v>0</v>
      </c>
      <c r="BM25" s="312" t="b">
        <f t="shared" si="25"/>
        <v>0</v>
      </c>
      <c r="BN25" s="312" t="b">
        <f t="shared" si="26"/>
        <v>1</v>
      </c>
      <c r="BO25" s="312" t="b">
        <f t="shared" si="27"/>
        <v>0</v>
      </c>
      <c r="BP25" s="312" t="str">
        <f t="shared" si="28"/>
        <v>De vraag moet ingevuld worden.</v>
      </c>
      <c r="BQ25" s="312" t="str">
        <f t="shared" si="29"/>
        <v/>
      </c>
      <c r="BR25" s="312" t="str">
        <f t="shared" si="30"/>
        <v>Deze vraag moet minimaal antwoord 2, 3 of 4 hebben.</v>
      </c>
      <c r="BS25" s="312" t="str">
        <f t="shared" si="31"/>
        <v/>
      </c>
      <c r="BT25" s="312" t="str">
        <f t="shared" si="32"/>
        <v/>
      </c>
      <c r="BU25" s="312" t="str">
        <f t="shared" si="33"/>
        <v/>
      </c>
      <c r="BV25" s="312" t="str">
        <f t="shared" si="61"/>
        <v>De vraag moet ingevuld worden.</v>
      </c>
      <c r="BW25" s="312" t="str">
        <f t="shared" si="34"/>
        <v/>
      </c>
      <c r="BX25" s="312" t="str">
        <f t="shared" si="35"/>
        <v/>
      </c>
      <c r="BY25" s="312" t="str">
        <f t="shared" si="36"/>
        <v/>
      </c>
      <c r="BZ25" s="312" t="b">
        <f t="shared" si="62"/>
        <v>1</v>
      </c>
      <c r="CA25" s="312" t="b">
        <f t="shared" si="37"/>
        <v>0</v>
      </c>
      <c r="CB25" s="312" t="b">
        <f t="shared" si="63"/>
        <v>0</v>
      </c>
      <c r="CC25" s="312" t="str">
        <f t="shared" si="38"/>
        <v>E</v>
      </c>
      <c r="CD25" s="312" t="str">
        <f t="shared" si="38"/>
        <v>G</v>
      </c>
      <c r="CE25" s="312" t="str">
        <f t="shared" si="38"/>
        <v>G</v>
      </c>
      <c r="CF25" s="312" t="b">
        <f t="shared" si="39"/>
        <v>1</v>
      </c>
      <c r="CG25" s="312" t="str">
        <f t="shared" si="40"/>
        <v>Fase 1</v>
      </c>
      <c r="CH25" s="312" t="str">
        <f t="shared" si="64"/>
        <v>Fase 1</v>
      </c>
      <c r="CJ25" s="312">
        <v>20</v>
      </c>
      <c r="CK25" s="312" t="str">
        <f t="shared" si="72"/>
        <v>Fase 1</v>
      </c>
      <c r="CL25" s="312">
        <f t="shared" si="41"/>
        <v>234</v>
      </c>
      <c r="CM25" s="312">
        <f t="shared" si="65"/>
        <v>4</v>
      </c>
      <c r="CN25" s="312">
        <f t="shared" si="66"/>
        <v>2</v>
      </c>
      <c r="CO25" s="312">
        <f t="shared" si="67"/>
        <v>4</v>
      </c>
    </row>
    <row r="26" spans="1:93" ht="15.75" thickBot="1">
      <c r="A26" s="400" t="s">
        <v>265</v>
      </c>
      <c r="B26" s="401" t="s">
        <v>266</v>
      </c>
      <c r="C26" s="390">
        <v>9</v>
      </c>
      <c r="D26" s="412" t="s">
        <v>568</v>
      </c>
      <c r="E26" s="463" t="s">
        <v>17</v>
      </c>
      <c r="F26" s="459" t="s">
        <v>268</v>
      </c>
      <c r="G26" s="460" t="s">
        <v>269</v>
      </c>
      <c r="H26" s="520" t="str">
        <f t="shared" si="42"/>
        <v>E</v>
      </c>
      <c r="I26" s="609" t="str">
        <f t="shared" si="43"/>
        <v>(O)</v>
      </c>
      <c r="J26" s="517" t="str">
        <f t="shared" si="44"/>
        <v>M</v>
      </c>
      <c r="K26" s="520" t="s">
        <v>215</v>
      </c>
      <c r="L26" s="621"/>
      <c r="M26" s="377"/>
      <c r="N26" s="377"/>
      <c r="O26" s="378"/>
      <c r="P26" s="379"/>
      <c r="Q26" s="380"/>
      <c r="R26" s="379">
        <f t="shared" si="45"/>
        <v>10</v>
      </c>
      <c r="S26" s="380">
        <f t="shared" si="46"/>
        <v>0</v>
      </c>
      <c r="T26" s="687">
        <f>SUMIF($AV26:$AV27,TRUE,R26:R27)</f>
        <v>10</v>
      </c>
      <c r="U26" s="675">
        <f>SUMIF($AV26:$AV27,TRUE,S26:S27)</f>
        <v>10</v>
      </c>
      <c r="V26" s="379">
        <f t="shared" si="70"/>
        <v>0</v>
      </c>
      <c r="W26" s="395">
        <f aca="true" t="shared" si="90" ref="W26:W28">IF(Q26="x",1,0)</f>
        <v>0</v>
      </c>
      <c r="X26" s="367">
        <f t="shared" si="49"/>
        <v>0</v>
      </c>
      <c r="Y26" s="366" t="str">
        <f t="shared" si="50"/>
        <v/>
      </c>
      <c r="Z26" s="368" t="str">
        <f t="shared" si="51"/>
        <v>De vraag moet ingevuld worden.</v>
      </c>
      <c r="AA26" s="369">
        <f t="shared" si="68"/>
        <v>21</v>
      </c>
      <c r="AB26" s="316">
        <f t="shared" si="0"/>
        <v>9</v>
      </c>
      <c r="AC26" s="316" t="str">
        <f t="shared" si="1"/>
        <v>Wat kunt u bijdragen aan bewonersparticipatie?</v>
      </c>
      <c r="AD26" s="316" t="str">
        <f t="shared" si="52"/>
        <v>9 Wat kunt u bijdragen aan bewonersparticipatie?</v>
      </c>
      <c r="AE26" s="316" t="str">
        <f t="shared" si="2"/>
        <v>a Bewonerscommunicatie en sociaal plan</v>
      </c>
      <c r="AF26" s="316" t="str">
        <f t="shared" si="3"/>
        <v>9a</v>
      </c>
      <c r="AG26" s="316">
        <f t="shared" si="53"/>
        <v>0</v>
      </c>
      <c r="AH26" s="316">
        <f t="shared" si="53"/>
        <v>0</v>
      </c>
      <c r="AI26" s="316">
        <f t="shared" si="53"/>
        <v>0</v>
      </c>
      <c r="AJ26" s="316">
        <f t="shared" si="53"/>
        <v>0</v>
      </c>
      <c r="AK26" s="316">
        <f t="shared" si="54"/>
        <v>0</v>
      </c>
      <c r="AL26" s="316" t="e">
        <f t="shared" si="5"/>
        <v>#N/A</v>
      </c>
      <c r="AM26" s="316">
        <f t="shared" si="55"/>
        <v>0</v>
      </c>
      <c r="AN26" s="316">
        <f t="shared" si="56"/>
        <v>10</v>
      </c>
      <c r="AO26" s="312">
        <f t="shared" si="6"/>
        <v>0</v>
      </c>
      <c r="AP26" s="312" t="str">
        <f t="shared" si="7"/>
        <v/>
      </c>
      <c r="AQ26" s="312">
        <f t="shared" si="57"/>
        <v>0</v>
      </c>
      <c r="AR26" s="312" t="b">
        <f t="shared" si="8"/>
        <v>0</v>
      </c>
      <c r="AS26" s="312" t="b">
        <f t="shared" si="9"/>
        <v>0</v>
      </c>
      <c r="AT26" s="312" t="b">
        <f t="shared" si="10"/>
        <v>0</v>
      </c>
      <c r="AU26" s="312" t="b">
        <f t="shared" si="11"/>
        <v>0</v>
      </c>
      <c r="AV26" s="312" t="b">
        <f t="shared" si="12"/>
        <v>1</v>
      </c>
      <c r="AW26" s="312" t="b">
        <f t="shared" si="13"/>
        <v>0</v>
      </c>
      <c r="AX26" s="312">
        <f t="shared" si="14"/>
        <v>10</v>
      </c>
      <c r="AY26" s="312">
        <f t="shared" si="15"/>
        <v>0</v>
      </c>
      <c r="AZ26" s="312" t="b">
        <f t="shared" si="58"/>
        <v>0</v>
      </c>
      <c r="BA26" s="312" t="b">
        <f t="shared" si="59"/>
        <v>0</v>
      </c>
      <c r="BB26" s="312" t="b">
        <f t="shared" si="16"/>
        <v>0</v>
      </c>
      <c r="BC26" s="312" t="b">
        <f t="shared" si="17"/>
        <v>0</v>
      </c>
      <c r="BD26" s="312">
        <v>1</v>
      </c>
      <c r="BE26" s="312" t="b">
        <f t="shared" si="18"/>
        <v>0</v>
      </c>
      <c r="BF26" s="312" t="b">
        <f t="shared" si="19"/>
        <v>0</v>
      </c>
      <c r="BG26" s="312" t="b">
        <f t="shared" si="20"/>
        <v>0</v>
      </c>
      <c r="BH26" s="312" t="b">
        <f t="shared" si="21"/>
        <v>0</v>
      </c>
      <c r="BI26" s="312" t="b">
        <f t="shared" si="22"/>
        <v>0</v>
      </c>
      <c r="BJ26" s="312" t="b">
        <f t="shared" si="23"/>
        <v>0</v>
      </c>
      <c r="BK26" s="312" t="b">
        <f t="shared" si="24"/>
        <v>0</v>
      </c>
      <c r="BL26" s="312" t="b">
        <f t="shared" si="60"/>
        <v>0</v>
      </c>
      <c r="BM26" s="312" t="b">
        <f t="shared" si="25"/>
        <v>1</v>
      </c>
      <c r="BN26" s="312" t="b">
        <f t="shared" si="26"/>
        <v>0</v>
      </c>
      <c r="BO26" s="312" t="b">
        <f t="shared" si="27"/>
        <v>0</v>
      </c>
      <c r="BP26" s="312" t="str">
        <f t="shared" si="28"/>
        <v>De vraag moet ingevuld worden.</v>
      </c>
      <c r="BQ26" s="312" t="str">
        <f t="shared" si="29"/>
        <v/>
      </c>
      <c r="BR26" s="312" t="str">
        <f t="shared" si="30"/>
        <v/>
      </c>
      <c r="BS26" s="312" t="str">
        <f t="shared" si="31"/>
        <v/>
      </c>
      <c r="BT26" s="312" t="str">
        <f t="shared" si="32"/>
        <v/>
      </c>
      <c r="BU26" s="312">
        <f t="shared" si="33"/>
        <v>0</v>
      </c>
      <c r="BV26" s="312" t="str">
        <f t="shared" si="61"/>
        <v>De vraag moet ingevuld worden.</v>
      </c>
      <c r="BW26" s="312" t="str">
        <f t="shared" si="34"/>
        <v/>
      </c>
      <c r="BX26" s="312" t="str">
        <f t="shared" si="35"/>
        <v>M</v>
      </c>
      <c r="BY26" s="312">
        <f t="shared" si="36"/>
        <v>34</v>
      </c>
      <c r="BZ26" s="312" t="b">
        <f t="shared" si="62"/>
        <v>0</v>
      </c>
      <c r="CA26" s="312" t="b">
        <f t="shared" si="37"/>
        <v>1</v>
      </c>
      <c r="CB26" s="312" t="b">
        <f t="shared" si="63"/>
        <v>0</v>
      </c>
      <c r="CC26" s="312" t="str">
        <f aca="true" t="shared" si="91" ref="CC26:CE45">IF($AV26,IF(VLOOKUP($AF26,vragen_must,CC$5,FALSE),lbl_vraag_must,IF(VLOOKUP($AF26,vragen_gewoon_1,CC$5,FALSE),lbl_vraag_extra,IF(VLOOKUP($AF26,vragen_must_tijdelijk,CC$5,FALSE),lbl_vraag_must_tijdelijk,IF(VLOOKUP($AF26,vragen_ontwikkel,CC$5,FALSE),lbl_vraag_must_ontwikkel,lbl_gewone_vraag)))),"")</f>
        <v>E</v>
      </c>
      <c r="CD26" s="312" t="str">
        <f t="shared" si="91"/>
        <v>(O)</v>
      </c>
      <c r="CE26" s="312" t="str">
        <f t="shared" si="91"/>
        <v>M</v>
      </c>
      <c r="CF26" s="312" t="b">
        <f t="shared" si="39"/>
        <v>1</v>
      </c>
      <c r="CG26" s="312" t="str">
        <f t="shared" si="40"/>
        <v>Fase 2</v>
      </c>
      <c r="CH26" s="312" t="str">
        <f t="shared" si="64"/>
        <v>Fase 2</v>
      </c>
      <c r="CI26" s="312">
        <v>10</v>
      </c>
      <c r="CK26" s="312" t="str">
        <f>A26</f>
        <v>Fase 2</v>
      </c>
      <c r="CL26" s="312">
        <f t="shared" si="41"/>
        <v>1234</v>
      </c>
      <c r="CM26" s="312">
        <f t="shared" si="65"/>
        <v>4</v>
      </c>
      <c r="CN26" s="312">
        <f t="shared" si="66"/>
        <v>3</v>
      </c>
      <c r="CO26" s="312">
        <f t="shared" si="67"/>
        <v>4</v>
      </c>
    </row>
    <row r="27" spans="1:93" ht="15.75" thickBot="1">
      <c r="A27" s="451"/>
      <c r="B27" s="452"/>
      <c r="C27" s="413"/>
      <c r="D27" s="336"/>
      <c r="E27" s="472" t="s">
        <v>18</v>
      </c>
      <c r="F27" s="479" t="s">
        <v>270</v>
      </c>
      <c r="G27" s="480" t="s">
        <v>271</v>
      </c>
      <c r="H27" s="521" t="str">
        <f t="shared" si="42"/>
        <v>E</v>
      </c>
      <c r="I27" s="610" t="str">
        <f t="shared" si="43"/>
        <v>(O)</v>
      </c>
      <c r="J27" s="522" t="str">
        <f t="shared" si="44"/>
        <v>E</v>
      </c>
      <c r="K27" s="521" t="s">
        <v>216</v>
      </c>
      <c r="L27" s="622"/>
      <c r="M27" s="392"/>
      <c r="N27" s="392"/>
      <c r="O27" s="393"/>
      <c r="P27" s="394"/>
      <c r="Q27" s="395"/>
      <c r="R27" s="394">
        <f t="shared" si="45"/>
        <v>0</v>
      </c>
      <c r="S27" s="395">
        <f t="shared" si="46"/>
        <v>10</v>
      </c>
      <c r="T27" s="688"/>
      <c r="U27" s="680"/>
      <c r="V27" s="394">
        <f t="shared" si="70"/>
        <v>0</v>
      </c>
      <c r="W27" s="395">
        <f t="shared" si="90"/>
        <v>0</v>
      </c>
      <c r="X27" s="367" t="str">
        <f t="shared" si="49"/>
        <v/>
      </c>
      <c r="Y27" s="366">
        <f t="shared" si="50"/>
        <v>0</v>
      </c>
      <c r="Z27" s="368" t="str">
        <f t="shared" si="51"/>
        <v>De vraag moet ingevuld worden.</v>
      </c>
      <c r="AA27" s="369">
        <f t="shared" si="68"/>
        <v>22</v>
      </c>
      <c r="AB27" s="316">
        <f t="shared" si="0"/>
        <v>9</v>
      </c>
      <c r="AC27" s="316" t="str">
        <f t="shared" si="1"/>
        <v>Wat kunt u bijdragen aan bewonersparticipatie?</v>
      </c>
      <c r="AD27" s="316" t="str">
        <f t="shared" si="52"/>
        <v>9 Wat kunt u bijdragen aan bewonersparticipatie?</v>
      </c>
      <c r="AE27" s="316" t="str">
        <f t="shared" si="2"/>
        <v>b Bewonersbegeleiding</v>
      </c>
      <c r="AF27" s="316" t="str">
        <f t="shared" si="3"/>
        <v>9b</v>
      </c>
      <c r="AG27" s="316">
        <f t="shared" si="53"/>
        <v>0</v>
      </c>
      <c r="AH27" s="316">
        <f t="shared" si="53"/>
        <v>0</v>
      </c>
      <c r="AI27" s="316">
        <f t="shared" si="53"/>
        <v>0</v>
      </c>
      <c r="AJ27" s="316">
        <f t="shared" si="53"/>
        <v>0</v>
      </c>
      <c r="AK27" s="316">
        <f t="shared" si="54"/>
        <v>0</v>
      </c>
      <c r="AL27" s="316" t="e">
        <f t="shared" si="5"/>
        <v>#N/A</v>
      </c>
      <c r="AM27" s="316">
        <f t="shared" si="55"/>
        <v>0</v>
      </c>
      <c r="AN27" s="316">
        <f t="shared" si="56"/>
        <v>0</v>
      </c>
      <c r="AO27" s="312" t="str">
        <f t="shared" si="6"/>
        <v/>
      </c>
      <c r="AP27" s="312">
        <f t="shared" si="7"/>
        <v>0</v>
      </c>
      <c r="AQ27" s="312">
        <f t="shared" si="57"/>
        <v>0</v>
      </c>
      <c r="AR27" s="312" t="b">
        <f t="shared" si="8"/>
        <v>0</v>
      </c>
      <c r="AS27" s="312" t="b">
        <f t="shared" si="9"/>
        <v>0</v>
      </c>
      <c r="AT27" s="312" t="b">
        <f t="shared" si="10"/>
        <v>0</v>
      </c>
      <c r="AU27" s="312" t="b">
        <f t="shared" si="11"/>
        <v>0</v>
      </c>
      <c r="AV27" s="312" t="b">
        <f t="shared" si="12"/>
        <v>1</v>
      </c>
      <c r="AW27" s="312" t="b">
        <f t="shared" si="13"/>
        <v>0</v>
      </c>
      <c r="AX27" s="312">
        <f t="shared" si="14"/>
        <v>0</v>
      </c>
      <c r="AY27" s="312">
        <f t="shared" si="15"/>
        <v>10</v>
      </c>
      <c r="AZ27" s="312" t="b">
        <f t="shared" si="58"/>
        <v>0</v>
      </c>
      <c r="BA27" s="312" t="b">
        <f t="shared" si="59"/>
        <v>0</v>
      </c>
      <c r="BB27" s="312" t="b">
        <f t="shared" si="16"/>
        <v>0</v>
      </c>
      <c r="BC27" s="312" t="b">
        <f t="shared" si="17"/>
        <v>0</v>
      </c>
      <c r="BD27" s="312">
        <v>1</v>
      </c>
      <c r="BE27" s="312" t="b">
        <f t="shared" si="18"/>
        <v>0</v>
      </c>
      <c r="BF27" s="312" t="b">
        <f t="shared" si="19"/>
        <v>0</v>
      </c>
      <c r="BG27" s="312" t="b">
        <f t="shared" si="20"/>
        <v>0</v>
      </c>
      <c r="BH27" s="312" t="b">
        <f t="shared" si="21"/>
        <v>0</v>
      </c>
      <c r="BI27" s="312" t="b">
        <f t="shared" si="22"/>
        <v>0</v>
      </c>
      <c r="BJ27" s="312" t="b">
        <f t="shared" si="23"/>
        <v>0</v>
      </c>
      <c r="BK27" s="312" t="b">
        <f t="shared" si="24"/>
        <v>0</v>
      </c>
      <c r="BL27" s="312" t="b">
        <f t="shared" si="60"/>
        <v>0</v>
      </c>
      <c r="BM27" s="312" t="b">
        <f t="shared" si="25"/>
        <v>0</v>
      </c>
      <c r="BN27" s="312" t="b">
        <f t="shared" si="26"/>
        <v>1</v>
      </c>
      <c r="BO27" s="312" t="b">
        <f t="shared" si="27"/>
        <v>0</v>
      </c>
      <c r="BP27" s="312" t="str">
        <f t="shared" si="28"/>
        <v>De vraag moet ingevuld worden.</v>
      </c>
      <c r="BQ27" s="312" t="str">
        <f t="shared" si="29"/>
        <v/>
      </c>
      <c r="BR27" s="312" t="str">
        <f t="shared" si="30"/>
        <v/>
      </c>
      <c r="BS27" s="312" t="str">
        <f t="shared" si="31"/>
        <v/>
      </c>
      <c r="BT27" s="312" t="str">
        <f t="shared" si="32"/>
        <v/>
      </c>
      <c r="BU27" s="312">
        <f t="shared" si="33"/>
        <v>0</v>
      </c>
      <c r="BV27" s="312" t="str">
        <f t="shared" si="61"/>
        <v>De vraag moet ingevuld worden.</v>
      </c>
      <c r="BW27" s="312" t="str">
        <f t="shared" si="34"/>
        <v/>
      </c>
      <c r="BX27" s="312" t="str">
        <f t="shared" si="35"/>
        <v>E</v>
      </c>
      <c r="BY27" s="312">
        <f t="shared" si="36"/>
        <v>1234</v>
      </c>
      <c r="BZ27" s="312" t="b">
        <f t="shared" si="62"/>
        <v>0</v>
      </c>
      <c r="CA27" s="312" t="b">
        <f t="shared" si="37"/>
        <v>1</v>
      </c>
      <c r="CB27" s="312" t="b">
        <f t="shared" si="63"/>
        <v>0</v>
      </c>
      <c r="CC27" s="312" t="str">
        <f t="shared" si="91"/>
        <v>E</v>
      </c>
      <c r="CD27" s="312" t="str">
        <f t="shared" si="91"/>
        <v>(O)</v>
      </c>
      <c r="CE27" s="312" t="str">
        <f t="shared" si="91"/>
        <v>E</v>
      </c>
      <c r="CF27" s="312" t="b">
        <f t="shared" si="39"/>
        <v>0</v>
      </c>
      <c r="CG27" s="312" t="str">
        <f t="shared" si="40"/>
        <v/>
      </c>
      <c r="CH27" s="312" t="str">
        <f t="shared" si="64"/>
        <v>Fase 2</v>
      </c>
      <c r="CJ27" s="312">
        <v>10</v>
      </c>
      <c r="CK27" s="312" t="str">
        <f>CK26</f>
        <v>Fase 2</v>
      </c>
      <c r="CL27" s="312">
        <f t="shared" si="41"/>
        <v>1234</v>
      </c>
      <c r="CM27" s="312">
        <f t="shared" si="65"/>
        <v>4</v>
      </c>
      <c r="CN27" s="312">
        <f t="shared" si="66"/>
        <v>1</v>
      </c>
      <c r="CO27" s="312">
        <f t="shared" si="67"/>
        <v>4</v>
      </c>
    </row>
    <row r="28" spans="1:93" ht="15.75" thickBot="1">
      <c r="A28" s="449"/>
      <c r="B28" s="450"/>
      <c r="C28" s="381">
        <v>10</v>
      </c>
      <c r="D28" s="689" t="s">
        <v>606</v>
      </c>
      <c r="E28" s="463" t="s">
        <v>17</v>
      </c>
      <c r="F28" s="464" t="s">
        <v>273</v>
      </c>
      <c r="G28" s="465" t="s">
        <v>274</v>
      </c>
      <c r="H28" s="520" t="str">
        <f t="shared" si="42"/>
        <v>E</v>
      </c>
      <c r="I28" s="611" t="str">
        <f t="shared" si="43"/>
        <v>(O)</v>
      </c>
      <c r="J28" s="517" t="str">
        <f t="shared" si="44"/>
        <v>G</v>
      </c>
      <c r="K28" s="613" t="s">
        <v>215</v>
      </c>
      <c r="L28" s="614"/>
      <c r="M28" s="363"/>
      <c r="N28" s="363"/>
      <c r="O28" s="364"/>
      <c r="P28" s="365"/>
      <c r="Q28" s="366"/>
      <c r="R28" s="365">
        <f t="shared" si="45"/>
        <v>10</v>
      </c>
      <c r="S28" s="366">
        <f t="shared" si="46"/>
        <v>0</v>
      </c>
      <c r="T28" s="674">
        <f>SUMIF($AV28:$AV30,TRUE,R28:R30)</f>
        <v>20</v>
      </c>
      <c r="U28" s="676">
        <f>SUMIF($AV28:$AV30,TRUE,S28:S30)</f>
        <v>20</v>
      </c>
      <c r="V28" s="365">
        <f t="shared" si="70"/>
        <v>0</v>
      </c>
      <c r="W28" s="395">
        <f t="shared" si="90"/>
        <v>0</v>
      </c>
      <c r="X28" s="367">
        <f t="shared" si="49"/>
        <v>0</v>
      </c>
      <c r="Y28" s="366" t="str">
        <f t="shared" si="50"/>
        <v/>
      </c>
      <c r="Z28" s="368" t="str">
        <f t="shared" si="51"/>
        <v>De vraag moet ingevuld worden.</v>
      </c>
      <c r="AA28" s="369">
        <f t="shared" si="68"/>
        <v>23</v>
      </c>
      <c r="AB28" s="316">
        <f t="shared" si="0"/>
        <v>10</v>
      </c>
      <c r="AC28" s="316" t="str">
        <f t="shared" si="1"/>
        <v>Hoe ontwerpt u een projectplan gebaseerd op de behoeften van de opdrachtgever?</v>
      </c>
      <c r="AD28" s="316" t="str">
        <f t="shared" si="52"/>
        <v>10 Hoe ontwerpt u een projectplan gebaseerd op de behoeften van de opdrachtgever?</v>
      </c>
      <c r="AE28" s="316" t="str">
        <f t="shared" si="2"/>
        <v>a Globale beoordeling</v>
      </c>
      <c r="AF28" s="316" t="str">
        <f t="shared" si="3"/>
        <v>10a</v>
      </c>
      <c r="AG28" s="316">
        <f t="shared" si="53"/>
        <v>0</v>
      </c>
      <c r="AH28" s="316">
        <f t="shared" si="53"/>
        <v>0</v>
      </c>
      <c r="AI28" s="316">
        <f t="shared" si="53"/>
        <v>0</v>
      </c>
      <c r="AJ28" s="316">
        <f t="shared" si="53"/>
        <v>0</v>
      </c>
      <c r="AK28" s="316">
        <f t="shared" si="54"/>
        <v>0</v>
      </c>
      <c r="AL28" s="316" t="e">
        <f t="shared" si="5"/>
        <v>#N/A</v>
      </c>
      <c r="AM28" s="316">
        <f t="shared" si="55"/>
        <v>0</v>
      </c>
      <c r="AN28" s="316">
        <f t="shared" si="56"/>
        <v>10</v>
      </c>
      <c r="AO28" s="312">
        <f t="shared" si="6"/>
        <v>0</v>
      </c>
      <c r="AP28" s="312" t="str">
        <f t="shared" si="7"/>
        <v/>
      </c>
      <c r="AQ28" s="312">
        <f t="shared" si="57"/>
        <v>0</v>
      </c>
      <c r="AR28" s="312" t="b">
        <f t="shared" si="8"/>
        <v>0</v>
      </c>
      <c r="AS28" s="312" t="b">
        <f t="shared" si="9"/>
        <v>0</v>
      </c>
      <c r="AT28" s="312" t="b">
        <f t="shared" si="10"/>
        <v>0</v>
      </c>
      <c r="AU28" s="312" t="b">
        <f t="shared" si="11"/>
        <v>0</v>
      </c>
      <c r="AV28" s="312" t="b">
        <f t="shared" si="12"/>
        <v>1</v>
      </c>
      <c r="AW28" s="312" t="b">
        <f t="shared" si="13"/>
        <v>0</v>
      </c>
      <c r="AX28" s="312">
        <f t="shared" si="14"/>
        <v>10</v>
      </c>
      <c r="AY28" s="312">
        <f t="shared" si="15"/>
        <v>0</v>
      </c>
      <c r="AZ28" s="312" t="b">
        <f t="shared" si="58"/>
        <v>0</v>
      </c>
      <c r="BA28" s="312" t="b">
        <f t="shared" si="59"/>
        <v>0</v>
      </c>
      <c r="BB28" s="312" t="b">
        <f t="shared" si="16"/>
        <v>0</v>
      </c>
      <c r="BC28" s="312" t="b">
        <f t="shared" si="17"/>
        <v>0</v>
      </c>
      <c r="BD28" s="312">
        <v>1</v>
      </c>
      <c r="BE28" s="312" t="b">
        <f t="shared" si="18"/>
        <v>0</v>
      </c>
      <c r="BF28" s="312" t="b">
        <f t="shared" si="19"/>
        <v>0</v>
      </c>
      <c r="BG28" s="312" t="b">
        <f t="shared" si="20"/>
        <v>0</v>
      </c>
      <c r="BH28" s="312" t="b">
        <f t="shared" si="21"/>
        <v>0</v>
      </c>
      <c r="BI28" s="312" t="b">
        <f t="shared" si="22"/>
        <v>0</v>
      </c>
      <c r="BJ28" s="312" t="b">
        <f t="shared" si="23"/>
        <v>0</v>
      </c>
      <c r="BK28" s="312" t="b">
        <f t="shared" si="24"/>
        <v>0</v>
      </c>
      <c r="BL28" s="312" t="b">
        <f t="shared" si="60"/>
        <v>0</v>
      </c>
      <c r="BM28" s="312" t="b">
        <f t="shared" si="25"/>
        <v>1</v>
      </c>
      <c r="BN28" s="312" t="b">
        <f t="shared" si="26"/>
        <v>0</v>
      </c>
      <c r="BO28" s="312" t="b">
        <f t="shared" si="27"/>
        <v>0</v>
      </c>
      <c r="BP28" s="312" t="str">
        <f t="shared" si="28"/>
        <v>De vraag moet ingevuld worden.</v>
      </c>
      <c r="BQ28" s="312" t="str">
        <f t="shared" si="29"/>
        <v/>
      </c>
      <c r="BR28" s="312" t="str">
        <f t="shared" si="30"/>
        <v/>
      </c>
      <c r="BS28" s="312" t="str">
        <f t="shared" si="31"/>
        <v/>
      </c>
      <c r="BT28" s="312" t="str">
        <f t="shared" si="32"/>
        <v/>
      </c>
      <c r="BU28" s="312">
        <f t="shared" si="33"/>
        <v>0</v>
      </c>
      <c r="BV28" s="312" t="str">
        <f t="shared" si="61"/>
        <v>De vraag moet ingevuld worden.</v>
      </c>
      <c r="BW28" s="312" t="str">
        <f t="shared" si="34"/>
        <v/>
      </c>
      <c r="BX28" s="312" t="str">
        <f t="shared" si="35"/>
        <v>G</v>
      </c>
      <c r="BY28" s="312">
        <f t="shared" si="36"/>
        <v>234</v>
      </c>
      <c r="BZ28" s="312" t="b">
        <f t="shared" si="62"/>
        <v>0</v>
      </c>
      <c r="CA28" s="312" t="b">
        <f t="shared" si="37"/>
        <v>1</v>
      </c>
      <c r="CB28" s="312" t="b">
        <f t="shared" si="63"/>
        <v>0</v>
      </c>
      <c r="CC28" s="312" t="str">
        <f t="shared" si="91"/>
        <v>E</v>
      </c>
      <c r="CD28" s="312" t="str">
        <f t="shared" si="91"/>
        <v>(O)</v>
      </c>
      <c r="CE28" s="312" t="str">
        <f t="shared" si="91"/>
        <v>G</v>
      </c>
      <c r="CF28" s="312" t="b">
        <f t="shared" si="39"/>
        <v>0</v>
      </c>
      <c r="CG28" s="312">
        <f t="shared" si="40"/>
        <v>0</v>
      </c>
      <c r="CH28" s="312">
        <f t="shared" si="64"/>
        <v>0</v>
      </c>
      <c r="CI28" s="312">
        <v>10</v>
      </c>
      <c r="CK28" s="312" t="str">
        <f aca="true" t="shared" si="92" ref="CK28:CK35">CK27</f>
        <v>Fase 2</v>
      </c>
      <c r="CL28" s="312">
        <f t="shared" si="41"/>
        <v>1234</v>
      </c>
      <c r="CM28" s="312">
        <f t="shared" si="65"/>
        <v>4</v>
      </c>
      <c r="CN28" s="312">
        <f t="shared" si="66"/>
        <v>2</v>
      </c>
      <c r="CO28" s="312">
        <f t="shared" si="67"/>
        <v>4</v>
      </c>
    </row>
    <row r="29" spans="1:93" ht="30">
      <c r="A29" s="449"/>
      <c r="B29" s="450"/>
      <c r="C29" s="381"/>
      <c r="D29" s="690"/>
      <c r="E29" s="458" t="s">
        <v>18</v>
      </c>
      <c r="F29" s="477" t="s">
        <v>537</v>
      </c>
      <c r="G29" s="478" t="s">
        <v>275</v>
      </c>
      <c r="H29" s="516" t="str">
        <f t="shared" si="42"/>
        <v>E</v>
      </c>
      <c r="I29" s="612" t="str">
        <f t="shared" si="43"/>
        <v>(O)</v>
      </c>
      <c r="J29" s="519" t="str">
        <f t="shared" si="44"/>
        <v>M</v>
      </c>
      <c r="K29" s="615" t="s">
        <v>216</v>
      </c>
      <c r="L29" s="616"/>
      <c r="M29" s="363"/>
      <c r="N29" s="363"/>
      <c r="O29" s="364"/>
      <c r="P29" s="365"/>
      <c r="Q29" s="366"/>
      <c r="R29" s="365">
        <f t="shared" si="45"/>
        <v>0</v>
      </c>
      <c r="S29" s="366">
        <f t="shared" si="46"/>
        <v>20</v>
      </c>
      <c r="T29" s="674"/>
      <c r="U29" s="676"/>
      <c r="V29" s="365"/>
      <c r="W29" s="366"/>
      <c r="X29" s="367" t="str">
        <f t="shared" si="49"/>
        <v/>
      </c>
      <c r="Y29" s="366">
        <f t="shared" si="50"/>
        <v>0</v>
      </c>
      <c r="Z29" s="368" t="str">
        <f t="shared" si="51"/>
        <v>De vraag moet ingevuld worden.</v>
      </c>
      <c r="AA29" s="369">
        <f t="shared" si="68"/>
        <v>24</v>
      </c>
      <c r="AB29" s="316">
        <f t="shared" si="0"/>
        <v>10</v>
      </c>
      <c r="AC29" s="316" t="str">
        <f t="shared" si="1"/>
        <v>Hoe ontwerpt u een projectplan gebaseerd op de behoeften van de opdrachtgever?</v>
      </c>
      <c r="AD29" s="316" t="str">
        <f t="shared" si="52"/>
        <v>10 Hoe ontwerpt u een projectplan gebaseerd op de behoeften van de opdrachtgever?</v>
      </c>
      <c r="AE29" s="316" t="str">
        <f t="shared" si="2"/>
        <v>b Kwaliteitsuitgangspunten en KPI’s 
duidelijk, eenduidig, bondig, toetsbaar</v>
      </c>
      <c r="AF29" s="316" t="str">
        <f t="shared" si="3"/>
        <v>10b</v>
      </c>
      <c r="AG29" s="316">
        <f t="shared" si="53"/>
        <v>0</v>
      </c>
      <c r="AH29" s="316">
        <f t="shared" si="53"/>
        <v>0</v>
      </c>
      <c r="AI29" s="316">
        <f t="shared" si="53"/>
        <v>0</v>
      </c>
      <c r="AJ29" s="316">
        <f t="shared" si="53"/>
        <v>0</v>
      </c>
      <c r="AK29" s="316">
        <f t="shared" si="54"/>
        <v>0</v>
      </c>
      <c r="AL29" s="316" t="e">
        <f t="shared" si="5"/>
        <v>#N/A</v>
      </c>
      <c r="AM29" s="316">
        <f t="shared" si="55"/>
        <v>0</v>
      </c>
      <c r="AN29" s="316">
        <f t="shared" si="56"/>
        <v>0</v>
      </c>
      <c r="AO29" s="312" t="str">
        <f t="shared" si="6"/>
        <v/>
      </c>
      <c r="AP29" s="312">
        <f t="shared" si="7"/>
        <v>0</v>
      </c>
      <c r="AQ29" s="312">
        <f t="shared" si="57"/>
        <v>0</v>
      </c>
      <c r="AR29" s="312" t="b">
        <f t="shared" si="8"/>
        <v>0</v>
      </c>
      <c r="AS29" s="312" t="b">
        <f t="shared" si="9"/>
        <v>0</v>
      </c>
      <c r="AT29" s="312" t="b">
        <f t="shared" si="10"/>
        <v>0</v>
      </c>
      <c r="AU29" s="312" t="b">
        <f t="shared" si="11"/>
        <v>0</v>
      </c>
      <c r="AV29" s="312" t="b">
        <f t="shared" si="12"/>
        <v>1</v>
      </c>
      <c r="AW29" s="312" t="b">
        <f t="shared" si="13"/>
        <v>0</v>
      </c>
      <c r="AX29" s="312">
        <f t="shared" si="14"/>
        <v>0</v>
      </c>
      <c r="AY29" s="312">
        <f t="shared" si="15"/>
        <v>20</v>
      </c>
      <c r="AZ29" s="312" t="b">
        <f t="shared" si="58"/>
        <v>0</v>
      </c>
      <c r="BA29" s="312" t="b">
        <f t="shared" si="59"/>
        <v>0</v>
      </c>
      <c r="BB29" s="312" t="b">
        <f t="shared" si="16"/>
        <v>0</v>
      </c>
      <c r="BC29" s="312" t="b">
        <f t="shared" si="17"/>
        <v>0</v>
      </c>
      <c r="BD29" s="312">
        <v>1</v>
      </c>
      <c r="BE29" s="312" t="b">
        <f t="shared" si="18"/>
        <v>0</v>
      </c>
      <c r="BF29" s="312" t="b">
        <f t="shared" si="19"/>
        <v>0</v>
      </c>
      <c r="BG29" s="312" t="b">
        <f t="shared" si="20"/>
        <v>0</v>
      </c>
      <c r="BH29" s="312" t="b">
        <f t="shared" si="21"/>
        <v>0</v>
      </c>
      <c r="BI29" s="312" t="b">
        <f t="shared" si="22"/>
        <v>0</v>
      </c>
      <c r="BJ29" s="312" t="b">
        <f t="shared" si="23"/>
        <v>0</v>
      </c>
      <c r="BK29" s="312" t="b">
        <f t="shared" si="24"/>
        <v>0</v>
      </c>
      <c r="BL29" s="312" t="b">
        <f t="shared" si="60"/>
        <v>0</v>
      </c>
      <c r="BM29" s="312" t="b">
        <f t="shared" si="25"/>
        <v>0</v>
      </c>
      <c r="BN29" s="312" t="b">
        <f t="shared" si="26"/>
        <v>1</v>
      </c>
      <c r="BO29" s="312" t="b">
        <f t="shared" si="27"/>
        <v>0</v>
      </c>
      <c r="BP29" s="312" t="str">
        <f t="shared" si="28"/>
        <v>De vraag moet ingevuld worden.</v>
      </c>
      <c r="BQ29" s="312" t="str">
        <f t="shared" si="29"/>
        <v/>
      </c>
      <c r="BR29" s="312" t="str">
        <f t="shared" si="30"/>
        <v/>
      </c>
      <c r="BS29" s="312" t="str">
        <f t="shared" si="31"/>
        <v/>
      </c>
      <c r="BT29" s="312" t="str">
        <f t="shared" si="32"/>
        <v/>
      </c>
      <c r="BU29" s="312">
        <f t="shared" si="33"/>
        <v>0</v>
      </c>
      <c r="BV29" s="312" t="str">
        <f t="shared" si="61"/>
        <v>De vraag moet ingevuld worden.</v>
      </c>
      <c r="BW29" s="312" t="str">
        <f t="shared" si="34"/>
        <v/>
      </c>
      <c r="BX29" s="312" t="str">
        <f t="shared" si="35"/>
        <v>M</v>
      </c>
      <c r="BY29" s="312">
        <f t="shared" si="36"/>
        <v>34</v>
      </c>
      <c r="BZ29" s="312" t="b">
        <f t="shared" si="62"/>
        <v>0</v>
      </c>
      <c r="CA29" s="312" t="b">
        <f t="shared" si="37"/>
        <v>1</v>
      </c>
      <c r="CB29" s="312" t="b">
        <f t="shared" si="63"/>
        <v>0</v>
      </c>
      <c r="CC29" s="312" t="str">
        <f t="shared" si="91"/>
        <v>E</v>
      </c>
      <c r="CD29" s="312" t="str">
        <f t="shared" si="91"/>
        <v>(O)</v>
      </c>
      <c r="CE29" s="312" t="str">
        <f t="shared" si="91"/>
        <v>M</v>
      </c>
      <c r="CF29" s="312" t="b">
        <f t="shared" si="39"/>
        <v>0</v>
      </c>
      <c r="CG29" s="312">
        <f t="shared" si="40"/>
        <v>0</v>
      </c>
      <c r="CH29" s="312">
        <f t="shared" si="64"/>
        <v>0</v>
      </c>
      <c r="CJ29" s="312">
        <v>20</v>
      </c>
      <c r="CK29" s="312" t="str">
        <f t="shared" si="92"/>
        <v>Fase 2</v>
      </c>
      <c r="CL29" s="312">
        <f t="shared" si="41"/>
        <v>1234</v>
      </c>
      <c r="CM29" s="312">
        <f t="shared" si="65"/>
        <v>4</v>
      </c>
      <c r="CN29" s="312">
        <f t="shared" si="66"/>
        <v>3</v>
      </c>
      <c r="CO29" s="312">
        <f t="shared" si="67"/>
        <v>4</v>
      </c>
    </row>
    <row r="30" spans="1:93" ht="15.75" thickBot="1">
      <c r="A30" s="599" t="str">
        <f>A26</f>
        <v>Fase 2</v>
      </c>
      <c r="B30" s="600" t="str">
        <f>B26</f>
        <v>Planontwikkeling</v>
      </c>
      <c r="C30" s="603">
        <f>C28</f>
        <v>10</v>
      </c>
      <c r="D30" s="604" t="str">
        <f>D28</f>
        <v>Hoe ontwerpt u een projectplan gebaseerd op de behoeften van de opdrachtgever?</v>
      </c>
      <c r="E30" s="466" t="s">
        <v>19</v>
      </c>
      <c r="F30" s="461" t="s">
        <v>276</v>
      </c>
      <c r="G30" s="462" t="s">
        <v>264</v>
      </c>
      <c r="H30" s="518" t="str">
        <f t="shared" si="42"/>
        <v>E</v>
      </c>
      <c r="I30" s="525" t="str">
        <f t="shared" si="43"/>
        <v>G</v>
      </c>
      <c r="J30" s="523" t="str">
        <f t="shared" si="44"/>
        <v>M</v>
      </c>
      <c r="K30" s="534" t="s">
        <v>215</v>
      </c>
      <c r="L30" s="619"/>
      <c r="M30" s="382"/>
      <c r="N30" s="382"/>
      <c r="O30" s="383"/>
      <c r="P30" s="375"/>
      <c r="Q30" s="384"/>
      <c r="R30" s="375">
        <f t="shared" si="45"/>
        <v>10</v>
      </c>
      <c r="S30" s="384">
        <f t="shared" si="46"/>
        <v>0</v>
      </c>
      <c r="T30" s="674"/>
      <c r="U30" s="676"/>
      <c r="V30" s="375">
        <f aca="true" t="shared" si="93" ref="V30:V38">IF(P30="x",1,0)</f>
        <v>0</v>
      </c>
      <c r="W30" s="384">
        <f>IF(Q30="x",1,0)</f>
        <v>0</v>
      </c>
      <c r="X30" s="367">
        <f t="shared" si="49"/>
        <v>0</v>
      </c>
      <c r="Y30" s="366" t="str">
        <f t="shared" si="50"/>
        <v/>
      </c>
      <c r="Z30" s="368" t="str">
        <f t="shared" si="51"/>
        <v>De vraag moet ingevuld worden.</v>
      </c>
      <c r="AA30" s="369">
        <f t="shared" si="68"/>
        <v>25</v>
      </c>
      <c r="AB30" s="316">
        <f t="shared" si="0"/>
        <v>10</v>
      </c>
      <c r="AC30" s="316" t="str">
        <f t="shared" si="1"/>
        <v>Hoe ontwerpt u een projectplan gebaseerd op de behoeften van de opdrachtgever?</v>
      </c>
      <c r="AD30" s="316" t="str">
        <f t="shared" si="52"/>
        <v>10 Hoe ontwerpt u een projectplan gebaseerd op de behoeften van de opdrachtgever?</v>
      </c>
      <c r="AE30" s="316" t="str">
        <f t="shared" si="2"/>
        <v>c Prestatie indicatoren projectspecifiek</v>
      </c>
      <c r="AF30" s="316" t="str">
        <f t="shared" si="3"/>
        <v>10c</v>
      </c>
      <c r="AG30" s="316">
        <f t="shared" si="53"/>
        <v>0</v>
      </c>
      <c r="AH30" s="316">
        <f t="shared" si="53"/>
        <v>0</v>
      </c>
      <c r="AI30" s="316">
        <f t="shared" si="53"/>
        <v>0</v>
      </c>
      <c r="AJ30" s="316">
        <f t="shared" si="53"/>
        <v>0</v>
      </c>
      <c r="AK30" s="316">
        <f t="shared" si="54"/>
        <v>0</v>
      </c>
      <c r="AL30" s="316" t="e">
        <f t="shared" si="5"/>
        <v>#N/A</v>
      </c>
      <c r="AM30" s="316">
        <f t="shared" si="55"/>
        <v>0</v>
      </c>
      <c r="AN30" s="316">
        <f t="shared" si="56"/>
        <v>10</v>
      </c>
      <c r="AO30" s="312">
        <f t="shared" si="6"/>
        <v>0</v>
      </c>
      <c r="AP30" s="312" t="str">
        <f t="shared" si="7"/>
        <v/>
      </c>
      <c r="AQ30" s="312">
        <f t="shared" si="57"/>
        <v>0</v>
      </c>
      <c r="AR30" s="312" t="b">
        <f t="shared" si="8"/>
        <v>0</v>
      </c>
      <c r="AS30" s="312" t="b">
        <f t="shared" si="9"/>
        <v>1</v>
      </c>
      <c r="AT30" s="312" t="b">
        <f t="shared" si="10"/>
        <v>0</v>
      </c>
      <c r="AU30" s="312" t="b">
        <f t="shared" si="11"/>
        <v>0</v>
      </c>
      <c r="AV30" s="312" t="b">
        <f t="shared" si="12"/>
        <v>1</v>
      </c>
      <c r="AW30" s="312" t="b">
        <f t="shared" si="13"/>
        <v>0</v>
      </c>
      <c r="AX30" s="312">
        <f t="shared" si="14"/>
        <v>10</v>
      </c>
      <c r="AY30" s="312">
        <f t="shared" si="15"/>
        <v>0</v>
      </c>
      <c r="AZ30" s="312" t="b">
        <f t="shared" si="58"/>
        <v>0</v>
      </c>
      <c r="BA30" s="312" t="b">
        <f t="shared" si="59"/>
        <v>0</v>
      </c>
      <c r="BB30" s="312" t="b">
        <f t="shared" si="16"/>
        <v>0</v>
      </c>
      <c r="BC30" s="312" t="b">
        <f t="shared" si="17"/>
        <v>0</v>
      </c>
      <c r="BD30" s="312">
        <v>1</v>
      </c>
      <c r="BE30" s="312" t="b">
        <f t="shared" si="18"/>
        <v>0</v>
      </c>
      <c r="BF30" s="312" t="b">
        <f t="shared" si="19"/>
        <v>1</v>
      </c>
      <c r="BG30" s="312" t="b">
        <f t="shared" si="20"/>
        <v>0</v>
      </c>
      <c r="BH30" s="312" t="b">
        <f t="shared" si="21"/>
        <v>0</v>
      </c>
      <c r="BI30" s="312" t="b">
        <f t="shared" si="22"/>
        <v>1</v>
      </c>
      <c r="BJ30" s="312" t="b">
        <f t="shared" si="23"/>
        <v>0</v>
      </c>
      <c r="BK30" s="312" t="b">
        <f t="shared" si="24"/>
        <v>0</v>
      </c>
      <c r="BL30" s="312" t="b">
        <f t="shared" si="60"/>
        <v>0</v>
      </c>
      <c r="BM30" s="312" t="b">
        <f t="shared" si="25"/>
        <v>1</v>
      </c>
      <c r="BN30" s="312" t="b">
        <f t="shared" si="26"/>
        <v>0</v>
      </c>
      <c r="BO30" s="312" t="b">
        <f t="shared" si="27"/>
        <v>0</v>
      </c>
      <c r="BP30" s="312" t="str">
        <f t="shared" si="28"/>
        <v>De vraag moet ingevuld worden.</v>
      </c>
      <c r="BQ30" s="312" t="str">
        <f t="shared" si="29"/>
        <v/>
      </c>
      <c r="BR30" s="312" t="str">
        <f t="shared" si="30"/>
        <v>Deze vraag moet minimaal antwoord 2, 3 of 4 hebben.</v>
      </c>
      <c r="BS30" s="312" t="str">
        <f t="shared" si="31"/>
        <v/>
      </c>
      <c r="BT30" s="312" t="str">
        <f t="shared" si="32"/>
        <v/>
      </c>
      <c r="BU30" s="312">
        <f t="shared" si="33"/>
        <v>0</v>
      </c>
      <c r="BV30" s="312" t="str">
        <f t="shared" si="61"/>
        <v>De vraag moet ingevuld worden.</v>
      </c>
      <c r="BW30" s="312" t="str">
        <f t="shared" si="34"/>
        <v/>
      </c>
      <c r="BX30" s="312" t="str">
        <f t="shared" si="35"/>
        <v>M</v>
      </c>
      <c r="BY30" s="312">
        <f t="shared" si="36"/>
        <v>34</v>
      </c>
      <c r="BZ30" s="312" t="b">
        <f t="shared" si="62"/>
        <v>0</v>
      </c>
      <c r="CA30" s="312" t="b">
        <f t="shared" si="37"/>
        <v>0</v>
      </c>
      <c r="CB30" s="312" t="b">
        <f t="shared" si="63"/>
        <v>0</v>
      </c>
      <c r="CC30" s="312" t="str">
        <f t="shared" si="91"/>
        <v>E</v>
      </c>
      <c r="CD30" s="312" t="str">
        <f t="shared" si="91"/>
        <v>G</v>
      </c>
      <c r="CE30" s="312" t="str">
        <f t="shared" si="91"/>
        <v>M</v>
      </c>
      <c r="CF30" s="312" t="b">
        <f t="shared" si="39"/>
        <v>1</v>
      </c>
      <c r="CG30" s="312" t="str">
        <f t="shared" si="40"/>
        <v>Fase 2</v>
      </c>
      <c r="CH30" s="312" t="str">
        <f t="shared" si="64"/>
        <v>Fase 2</v>
      </c>
      <c r="CI30" s="312">
        <v>10</v>
      </c>
      <c r="CK30" s="312" t="str">
        <f t="shared" si="92"/>
        <v>Fase 2</v>
      </c>
      <c r="CL30" s="312">
        <f t="shared" si="41"/>
        <v>234</v>
      </c>
      <c r="CM30" s="312">
        <f t="shared" si="65"/>
        <v>4</v>
      </c>
      <c r="CN30" s="312">
        <f t="shared" si="66"/>
        <v>3</v>
      </c>
      <c r="CO30" s="312">
        <f t="shared" si="67"/>
        <v>4</v>
      </c>
    </row>
    <row r="31" spans="1:93" ht="30">
      <c r="A31" s="453"/>
      <c r="B31" s="454"/>
      <c r="C31" s="376">
        <v>11</v>
      </c>
      <c r="D31" s="361" t="s">
        <v>569</v>
      </c>
      <c r="E31" s="463" t="s">
        <v>17</v>
      </c>
      <c r="F31" s="464" t="s">
        <v>278</v>
      </c>
      <c r="G31" s="465" t="s">
        <v>279</v>
      </c>
      <c r="H31" s="520" t="str">
        <f t="shared" si="42"/>
        <v>E</v>
      </c>
      <c r="I31" s="526" t="str">
        <f t="shared" si="43"/>
        <v>G</v>
      </c>
      <c r="J31" s="517" t="str">
        <f t="shared" si="44"/>
        <v>G</v>
      </c>
      <c r="K31" s="613" t="s">
        <v>215</v>
      </c>
      <c r="L31" s="614"/>
      <c r="M31" s="377"/>
      <c r="N31" s="377"/>
      <c r="O31" s="378"/>
      <c r="P31" s="379"/>
      <c r="Q31" s="380"/>
      <c r="R31" s="379">
        <f t="shared" si="45"/>
        <v>10</v>
      </c>
      <c r="S31" s="380">
        <f t="shared" si="46"/>
        <v>0</v>
      </c>
      <c r="T31" s="673">
        <f>SUMIF($AV31:$AV32,TRUE,R31:R32)</f>
        <v>20</v>
      </c>
      <c r="U31" s="675">
        <f>SUMIF($AV31:$AV32,TRUE,S31:S32)</f>
        <v>0</v>
      </c>
      <c r="V31" s="379">
        <f t="shared" si="93"/>
        <v>0</v>
      </c>
      <c r="W31" s="384">
        <f aca="true" t="shared" si="94" ref="W31:W38">IF(Q31="x",1,0)</f>
        <v>0</v>
      </c>
      <c r="X31" s="367">
        <f t="shared" si="49"/>
        <v>0</v>
      </c>
      <c r="Y31" s="366" t="str">
        <f t="shared" si="50"/>
        <v/>
      </c>
      <c r="Z31" s="368" t="str">
        <f t="shared" si="51"/>
        <v>De vraag moet ingevuld worden.</v>
      </c>
      <c r="AA31" s="369">
        <f t="shared" si="68"/>
        <v>26</v>
      </c>
      <c r="AB31" s="316">
        <f t="shared" si="0"/>
        <v>11</v>
      </c>
      <c r="AC31" s="316" t="str">
        <f t="shared" si="1"/>
        <v>Hoe maakt u kostenopgave van het ontwerp en de engineering inzichtelijk voor de opdrachtgever?</v>
      </c>
      <c r="AD31" s="316" t="str">
        <f t="shared" si="52"/>
        <v>11 Hoe maakt u kostenopgave van het ontwerp en de engineering inzichtelijk voor de opdrachtgever?</v>
      </c>
      <c r="AE31" s="316" t="str">
        <f t="shared" si="2"/>
        <v>a Kostenspecificatie</v>
      </c>
      <c r="AF31" s="316" t="str">
        <f t="shared" si="3"/>
        <v>11a</v>
      </c>
      <c r="AG31" s="316">
        <f t="shared" si="53"/>
        <v>0</v>
      </c>
      <c r="AH31" s="316">
        <f t="shared" si="53"/>
        <v>0</v>
      </c>
      <c r="AI31" s="316">
        <f t="shared" si="53"/>
        <v>0</v>
      </c>
      <c r="AJ31" s="316">
        <f t="shared" si="53"/>
        <v>0</v>
      </c>
      <c r="AK31" s="316">
        <f t="shared" si="54"/>
        <v>0</v>
      </c>
      <c r="AL31" s="316" t="e">
        <f t="shared" si="5"/>
        <v>#N/A</v>
      </c>
      <c r="AM31" s="316">
        <f t="shared" si="55"/>
        <v>0</v>
      </c>
      <c r="AN31" s="316">
        <f t="shared" si="56"/>
        <v>10</v>
      </c>
      <c r="AO31" s="312">
        <f t="shared" si="6"/>
        <v>0</v>
      </c>
      <c r="AP31" s="312" t="str">
        <f t="shared" si="7"/>
        <v/>
      </c>
      <c r="AQ31" s="312">
        <f t="shared" si="57"/>
        <v>0</v>
      </c>
      <c r="AR31" s="312" t="b">
        <f t="shared" si="8"/>
        <v>0</v>
      </c>
      <c r="AS31" s="312" t="b">
        <f t="shared" si="9"/>
        <v>1</v>
      </c>
      <c r="AT31" s="312" t="b">
        <f t="shared" si="10"/>
        <v>0</v>
      </c>
      <c r="AU31" s="312" t="b">
        <f t="shared" si="11"/>
        <v>0</v>
      </c>
      <c r="AV31" s="312" t="b">
        <f t="shared" si="12"/>
        <v>1</v>
      </c>
      <c r="AW31" s="312" t="b">
        <f t="shared" si="13"/>
        <v>0</v>
      </c>
      <c r="AX31" s="312">
        <f t="shared" si="14"/>
        <v>10</v>
      </c>
      <c r="AY31" s="312">
        <f t="shared" si="15"/>
        <v>0</v>
      </c>
      <c r="AZ31" s="312" t="b">
        <f t="shared" si="58"/>
        <v>0</v>
      </c>
      <c r="BA31" s="312" t="b">
        <f t="shared" si="59"/>
        <v>0</v>
      </c>
      <c r="BB31" s="312" t="b">
        <f t="shared" si="16"/>
        <v>0</v>
      </c>
      <c r="BC31" s="312" t="b">
        <f t="shared" si="17"/>
        <v>0</v>
      </c>
      <c r="BD31" s="312">
        <v>1</v>
      </c>
      <c r="BE31" s="312" t="b">
        <f t="shared" si="18"/>
        <v>0</v>
      </c>
      <c r="BF31" s="312" t="b">
        <f t="shared" si="19"/>
        <v>1</v>
      </c>
      <c r="BG31" s="312" t="b">
        <f t="shared" si="20"/>
        <v>0</v>
      </c>
      <c r="BH31" s="312" t="b">
        <f t="shared" si="21"/>
        <v>0</v>
      </c>
      <c r="BI31" s="312" t="b">
        <f t="shared" si="22"/>
        <v>1</v>
      </c>
      <c r="BJ31" s="312" t="b">
        <f t="shared" si="23"/>
        <v>0</v>
      </c>
      <c r="BK31" s="312" t="b">
        <f t="shared" si="24"/>
        <v>0</v>
      </c>
      <c r="BL31" s="312" t="b">
        <f t="shared" si="60"/>
        <v>0</v>
      </c>
      <c r="BM31" s="312" t="b">
        <f t="shared" si="25"/>
        <v>1</v>
      </c>
      <c r="BN31" s="312" t="b">
        <f t="shared" si="26"/>
        <v>0</v>
      </c>
      <c r="BO31" s="312" t="b">
        <f t="shared" si="27"/>
        <v>0</v>
      </c>
      <c r="BP31" s="312" t="str">
        <f t="shared" si="28"/>
        <v>De vraag moet ingevuld worden.</v>
      </c>
      <c r="BQ31" s="312" t="str">
        <f t="shared" si="29"/>
        <v/>
      </c>
      <c r="BR31" s="312" t="str">
        <f t="shared" si="30"/>
        <v>Deze vraag moet minimaal antwoord 2, 3 of 4 hebben.</v>
      </c>
      <c r="BS31" s="312" t="str">
        <f t="shared" si="31"/>
        <v/>
      </c>
      <c r="BT31" s="312" t="str">
        <f t="shared" si="32"/>
        <v/>
      </c>
      <c r="BU31" s="312" t="str">
        <f t="shared" si="33"/>
        <v/>
      </c>
      <c r="BV31" s="312" t="str">
        <f t="shared" si="61"/>
        <v>De vraag moet ingevuld worden.</v>
      </c>
      <c r="BW31" s="312" t="str">
        <f t="shared" si="34"/>
        <v/>
      </c>
      <c r="BX31" s="312" t="str">
        <f t="shared" si="35"/>
        <v/>
      </c>
      <c r="BY31" s="312" t="str">
        <f t="shared" si="36"/>
        <v/>
      </c>
      <c r="BZ31" s="312" t="b">
        <f t="shared" si="62"/>
        <v>1</v>
      </c>
      <c r="CA31" s="312" t="b">
        <f t="shared" si="37"/>
        <v>0</v>
      </c>
      <c r="CB31" s="312" t="b">
        <f t="shared" si="63"/>
        <v>0</v>
      </c>
      <c r="CC31" s="312" t="str">
        <f t="shared" si="91"/>
        <v>E</v>
      </c>
      <c r="CD31" s="312" t="str">
        <f t="shared" si="91"/>
        <v>G</v>
      </c>
      <c r="CE31" s="312" t="str">
        <f t="shared" si="91"/>
        <v>G</v>
      </c>
      <c r="CF31" s="312" t="b">
        <f t="shared" si="39"/>
        <v>0</v>
      </c>
      <c r="CG31" s="312" t="str">
        <f t="shared" si="40"/>
        <v/>
      </c>
      <c r="CH31" s="312" t="str">
        <f t="shared" si="64"/>
        <v>Fase 2</v>
      </c>
      <c r="CI31" s="312">
        <v>10</v>
      </c>
      <c r="CK31" s="312" t="str">
        <f t="shared" si="92"/>
        <v>Fase 2</v>
      </c>
      <c r="CL31" s="312">
        <f t="shared" si="41"/>
        <v>234</v>
      </c>
      <c r="CM31" s="312">
        <f t="shared" si="65"/>
        <v>4</v>
      </c>
      <c r="CN31" s="312">
        <f t="shared" si="66"/>
        <v>2</v>
      </c>
      <c r="CO31" s="312">
        <f t="shared" si="67"/>
        <v>4</v>
      </c>
    </row>
    <row r="32" spans="1:93" ht="15.75" thickBot="1">
      <c r="A32" s="447"/>
      <c r="B32" s="455"/>
      <c r="C32" s="338"/>
      <c r="D32" s="372"/>
      <c r="E32" s="472" t="s">
        <v>18</v>
      </c>
      <c r="F32" s="470" t="s">
        <v>280</v>
      </c>
      <c r="G32" s="471" t="s">
        <v>279</v>
      </c>
      <c r="H32" s="527" t="str">
        <f t="shared" si="42"/>
        <v>E</v>
      </c>
      <c r="I32" s="528" t="str">
        <f t="shared" si="43"/>
        <v>G</v>
      </c>
      <c r="J32" s="529" t="str">
        <f t="shared" si="44"/>
        <v>G</v>
      </c>
      <c r="K32" s="623" t="s">
        <v>215</v>
      </c>
      <c r="L32" s="620"/>
      <c r="M32" s="386"/>
      <c r="N32" s="386"/>
      <c r="O32" s="387"/>
      <c r="P32" s="388"/>
      <c r="Q32" s="389"/>
      <c r="R32" s="388">
        <f t="shared" si="45"/>
        <v>10</v>
      </c>
      <c r="S32" s="389">
        <f t="shared" si="46"/>
        <v>0</v>
      </c>
      <c r="T32" s="679"/>
      <c r="U32" s="680"/>
      <c r="V32" s="388">
        <f t="shared" si="93"/>
        <v>0</v>
      </c>
      <c r="W32" s="384">
        <f t="shared" si="94"/>
        <v>0</v>
      </c>
      <c r="X32" s="367">
        <f t="shared" si="49"/>
        <v>0</v>
      </c>
      <c r="Y32" s="366" t="str">
        <f t="shared" si="50"/>
        <v/>
      </c>
      <c r="Z32" s="368" t="str">
        <f t="shared" si="51"/>
        <v>De vraag moet ingevuld worden.</v>
      </c>
      <c r="AA32" s="369">
        <f t="shared" si="68"/>
        <v>27</v>
      </c>
      <c r="AB32" s="316">
        <f t="shared" si="0"/>
        <v>11</v>
      </c>
      <c r="AC32" s="316" t="str">
        <f t="shared" si="1"/>
        <v>Hoe maakt u kostenopgave van het ontwerp en de engineering inzichtelijk voor de opdrachtgever?</v>
      </c>
      <c r="AD32" s="316" t="str">
        <f t="shared" si="52"/>
        <v>11 Hoe maakt u kostenopgave van het ontwerp en de engineering inzichtelijk voor de opdrachtgever?</v>
      </c>
      <c r="AE32" s="316" t="str">
        <f t="shared" si="2"/>
        <v>b Urenregistratie</v>
      </c>
      <c r="AF32" s="316" t="str">
        <f t="shared" si="3"/>
        <v>11b</v>
      </c>
      <c r="AG32" s="316">
        <f t="shared" si="53"/>
        <v>0</v>
      </c>
      <c r="AH32" s="316">
        <f t="shared" si="53"/>
        <v>0</v>
      </c>
      <c r="AI32" s="316">
        <f t="shared" si="53"/>
        <v>0</v>
      </c>
      <c r="AJ32" s="316">
        <f t="shared" si="53"/>
        <v>0</v>
      </c>
      <c r="AK32" s="316">
        <f t="shared" si="54"/>
        <v>0</v>
      </c>
      <c r="AL32" s="316" t="e">
        <f t="shared" si="5"/>
        <v>#N/A</v>
      </c>
      <c r="AM32" s="316">
        <f t="shared" si="55"/>
        <v>0</v>
      </c>
      <c r="AN32" s="316">
        <f t="shared" si="56"/>
        <v>10</v>
      </c>
      <c r="AO32" s="312">
        <f t="shared" si="6"/>
        <v>0</v>
      </c>
      <c r="AP32" s="312" t="str">
        <f t="shared" si="7"/>
        <v/>
      </c>
      <c r="AQ32" s="312">
        <f t="shared" si="57"/>
        <v>0</v>
      </c>
      <c r="AR32" s="312" t="b">
        <f t="shared" si="8"/>
        <v>0</v>
      </c>
      <c r="AS32" s="312" t="b">
        <f t="shared" si="9"/>
        <v>1</v>
      </c>
      <c r="AT32" s="312" t="b">
        <f t="shared" si="10"/>
        <v>0</v>
      </c>
      <c r="AU32" s="312" t="b">
        <f t="shared" si="11"/>
        <v>0</v>
      </c>
      <c r="AV32" s="312" t="b">
        <f t="shared" si="12"/>
        <v>1</v>
      </c>
      <c r="AW32" s="312" t="b">
        <f t="shared" si="13"/>
        <v>0</v>
      </c>
      <c r="AX32" s="312">
        <f t="shared" si="14"/>
        <v>10</v>
      </c>
      <c r="AY32" s="312">
        <f t="shared" si="15"/>
        <v>0</v>
      </c>
      <c r="AZ32" s="312" t="b">
        <f t="shared" si="58"/>
        <v>0</v>
      </c>
      <c r="BA32" s="312" t="b">
        <f t="shared" si="59"/>
        <v>0</v>
      </c>
      <c r="BB32" s="312" t="b">
        <f t="shared" si="16"/>
        <v>0</v>
      </c>
      <c r="BC32" s="312" t="b">
        <f t="shared" si="17"/>
        <v>0</v>
      </c>
      <c r="BD32" s="312">
        <v>1</v>
      </c>
      <c r="BE32" s="312" t="b">
        <f t="shared" si="18"/>
        <v>0</v>
      </c>
      <c r="BF32" s="312" t="b">
        <f t="shared" si="19"/>
        <v>1</v>
      </c>
      <c r="BG32" s="312" t="b">
        <f t="shared" si="20"/>
        <v>0</v>
      </c>
      <c r="BH32" s="312" t="b">
        <f t="shared" si="21"/>
        <v>0</v>
      </c>
      <c r="BI32" s="312" t="b">
        <f t="shared" si="22"/>
        <v>1</v>
      </c>
      <c r="BJ32" s="312" t="b">
        <f t="shared" si="23"/>
        <v>0</v>
      </c>
      <c r="BK32" s="312" t="b">
        <f t="shared" si="24"/>
        <v>0</v>
      </c>
      <c r="BL32" s="312" t="b">
        <f t="shared" si="60"/>
        <v>0</v>
      </c>
      <c r="BM32" s="312" t="b">
        <f t="shared" si="25"/>
        <v>1</v>
      </c>
      <c r="BN32" s="312" t="b">
        <f t="shared" si="26"/>
        <v>0</v>
      </c>
      <c r="BO32" s="312" t="b">
        <f t="shared" si="27"/>
        <v>0</v>
      </c>
      <c r="BP32" s="312" t="str">
        <f t="shared" si="28"/>
        <v>De vraag moet ingevuld worden.</v>
      </c>
      <c r="BQ32" s="312" t="str">
        <f t="shared" si="29"/>
        <v/>
      </c>
      <c r="BR32" s="312" t="str">
        <f t="shared" si="30"/>
        <v>Deze vraag moet minimaal antwoord 2, 3 of 4 hebben.</v>
      </c>
      <c r="BS32" s="312" t="str">
        <f t="shared" si="31"/>
        <v/>
      </c>
      <c r="BT32" s="312" t="str">
        <f t="shared" si="32"/>
        <v/>
      </c>
      <c r="BU32" s="312" t="str">
        <f t="shared" si="33"/>
        <v/>
      </c>
      <c r="BV32" s="312" t="str">
        <f t="shared" si="61"/>
        <v>De vraag moet ingevuld worden.</v>
      </c>
      <c r="BW32" s="312" t="str">
        <f t="shared" si="34"/>
        <v/>
      </c>
      <c r="BX32" s="312" t="str">
        <f t="shared" si="35"/>
        <v/>
      </c>
      <c r="BY32" s="312" t="str">
        <f t="shared" si="36"/>
        <v/>
      </c>
      <c r="BZ32" s="312" t="b">
        <f t="shared" si="62"/>
        <v>1</v>
      </c>
      <c r="CA32" s="312" t="b">
        <f t="shared" si="37"/>
        <v>0</v>
      </c>
      <c r="CB32" s="312" t="b">
        <f t="shared" si="63"/>
        <v>0</v>
      </c>
      <c r="CC32" s="312" t="str">
        <f t="shared" si="91"/>
        <v>E</v>
      </c>
      <c r="CD32" s="312" t="str">
        <f t="shared" si="91"/>
        <v>G</v>
      </c>
      <c r="CE32" s="312" t="str">
        <f t="shared" si="91"/>
        <v>G</v>
      </c>
      <c r="CF32" s="312" t="b">
        <f t="shared" si="39"/>
        <v>0</v>
      </c>
      <c r="CG32" s="312">
        <f t="shared" si="40"/>
        <v>0</v>
      </c>
      <c r="CH32" s="312">
        <f t="shared" si="64"/>
        <v>0</v>
      </c>
      <c r="CI32" s="312">
        <v>10</v>
      </c>
      <c r="CK32" s="312" t="str">
        <f t="shared" si="92"/>
        <v>Fase 2</v>
      </c>
      <c r="CL32" s="312">
        <f t="shared" si="41"/>
        <v>234</v>
      </c>
      <c r="CM32" s="312">
        <f t="shared" si="65"/>
        <v>4</v>
      </c>
      <c r="CN32" s="312">
        <f t="shared" si="66"/>
        <v>2</v>
      </c>
      <c r="CO32" s="312">
        <f t="shared" si="67"/>
        <v>4</v>
      </c>
    </row>
    <row r="33" spans="1:93" ht="15">
      <c r="A33" s="569" t="str">
        <f>A26</f>
        <v>Fase 2</v>
      </c>
      <c r="B33" s="570" t="str">
        <f>B26</f>
        <v>Planontwikkeling</v>
      </c>
      <c r="C33" s="376">
        <v>12</v>
      </c>
      <c r="D33" s="361" t="s">
        <v>281</v>
      </c>
      <c r="E33" s="463" t="s">
        <v>17</v>
      </c>
      <c r="F33" s="464" t="s">
        <v>282</v>
      </c>
      <c r="G33" s="465" t="s">
        <v>283</v>
      </c>
      <c r="H33" s="530" t="str">
        <f t="shared" si="42"/>
        <v>E</v>
      </c>
      <c r="I33" s="526" t="str">
        <f t="shared" si="43"/>
        <v>G</v>
      </c>
      <c r="J33" s="517" t="str">
        <f t="shared" si="44"/>
        <v>G</v>
      </c>
      <c r="K33" s="613" t="s">
        <v>215</v>
      </c>
      <c r="L33" s="614"/>
      <c r="M33" s="377"/>
      <c r="N33" s="377"/>
      <c r="O33" s="378"/>
      <c r="P33" s="379"/>
      <c r="Q33" s="380"/>
      <c r="R33" s="379">
        <f t="shared" si="45"/>
        <v>35</v>
      </c>
      <c r="S33" s="380">
        <f t="shared" si="46"/>
        <v>0</v>
      </c>
      <c r="T33" s="673">
        <f>SUMIF($AV33:$AV35,TRUE,R33:R35)</f>
        <v>50</v>
      </c>
      <c r="U33" s="675">
        <f>SUMIF($AV33:$AV35,TRUE,S33:S35)</f>
        <v>10</v>
      </c>
      <c r="V33" s="379">
        <f t="shared" si="93"/>
        <v>0</v>
      </c>
      <c r="W33" s="384">
        <f t="shared" si="94"/>
        <v>0</v>
      </c>
      <c r="X33" s="367">
        <f t="shared" si="49"/>
        <v>0</v>
      </c>
      <c r="Y33" s="366" t="str">
        <f t="shared" si="50"/>
        <v/>
      </c>
      <c r="Z33" s="368" t="str">
        <f t="shared" si="51"/>
        <v>De vraag moet ingevuld worden.</v>
      </c>
      <c r="AA33" s="369">
        <f t="shared" si="68"/>
        <v>28</v>
      </c>
      <c r="AB33" s="316">
        <f t="shared" si="0"/>
        <v>12</v>
      </c>
      <c r="AC33" s="316" t="str">
        <f t="shared" si="1"/>
        <v>Hoe inspecteert u een gebouw/ complex?</v>
      </c>
      <c r="AD33" s="316" t="str">
        <f t="shared" si="52"/>
        <v>12 Hoe inspecteert u een gebouw/ complex?</v>
      </c>
      <c r="AE33" s="316" t="str">
        <f t="shared" si="2"/>
        <v>a Inspectie</v>
      </c>
      <c r="AF33" s="316" t="str">
        <f t="shared" si="3"/>
        <v>12a</v>
      </c>
      <c r="AG33" s="316">
        <f t="shared" si="53"/>
        <v>0</v>
      </c>
      <c r="AH33" s="316">
        <f t="shared" si="53"/>
        <v>0</v>
      </c>
      <c r="AI33" s="316">
        <f t="shared" si="53"/>
        <v>0</v>
      </c>
      <c r="AJ33" s="316">
        <f t="shared" si="53"/>
        <v>0</v>
      </c>
      <c r="AK33" s="316">
        <f t="shared" si="54"/>
        <v>0</v>
      </c>
      <c r="AL33" s="316" t="e">
        <f t="shared" si="5"/>
        <v>#N/A</v>
      </c>
      <c r="AM33" s="316">
        <f t="shared" si="55"/>
        <v>0</v>
      </c>
      <c r="AN33" s="316">
        <f t="shared" si="56"/>
        <v>35</v>
      </c>
      <c r="AO33" s="312">
        <f t="shared" si="6"/>
        <v>0</v>
      </c>
      <c r="AP33" s="312" t="str">
        <f t="shared" si="7"/>
        <v/>
      </c>
      <c r="AQ33" s="312">
        <f t="shared" si="57"/>
        <v>0</v>
      </c>
      <c r="AR33" s="312" t="b">
        <f t="shared" si="8"/>
        <v>0</v>
      </c>
      <c r="AS33" s="312" t="b">
        <f t="shared" si="9"/>
        <v>1</v>
      </c>
      <c r="AT33" s="312" t="b">
        <f t="shared" si="10"/>
        <v>0</v>
      </c>
      <c r="AU33" s="312" t="b">
        <f t="shared" si="11"/>
        <v>0</v>
      </c>
      <c r="AV33" s="312" t="b">
        <f t="shared" si="12"/>
        <v>1</v>
      </c>
      <c r="AW33" s="312" t="b">
        <f t="shared" si="13"/>
        <v>0</v>
      </c>
      <c r="AX33" s="312">
        <f t="shared" si="14"/>
        <v>35</v>
      </c>
      <c r="AY33" s="312">
        <f t="shared" si="15"/>
        <v>0</v>
      </c>
      <c r="AZ33" s="312" t="b">
        <f t="shared" si="58"/>
        <v>0</v>
      </c>
      <c r="BA33" s="312" t="b">
        <f t="shared" si="59"/>
        <v>0</v>
      </c>
      <c r="BB33" s="312" t="b">
        <f t="shared" si="16"/>
        <v>0</v>
      </c>
      <c r="BC33" s="312" t="b">
        <f t="shared" si="17"/>
        <v>0</v>
      </c>
      <c r="BD33" s="312">
        <v>1</v>
      </c>
      <c r="BE33" s="312" t="b">
        <f t="shared" si="18"/>
        <v>0</v>
      </c>
      <c r="BF33" s="312" t="b">
        <f t="shared" si="19"/>
        <v>1</v>
      </c>
      <c r="BG33" s="312" t="b">
        <f t="shared" si="20"/>
        <v>0</v>
      </c>
      <c r="BH33" s="312" t="b">
        <f t="shared" si="21"/>
        <v>0</v>
      </c>
      <c r="BI33" s="312" t="b">
        <f t="shared" si="22"/>
        <v>1</v>
      </c>
      <c r="BJ33" s="312" t="b">
        <f t="shared" si="23"/>
        <v>0</v>
      </c>
      <c r="BK33" s="312" t="b">
        <f t="shared" si="24"/>
        <v>0</v>
      </c>
      <c r="BL33" s="312" t="b">
        <f t="shared" si="60"/>
        <v>0</v>
      </c>
      <c r="BM33" s="312" t="b">
        <f t="shared" si="25"/>
        <v>1</v>
      </c>
      <c r="BN33" s="312" t="b">
        <f t="shared" si="26"/>
        <v>0</v>
      </c>
      <c r="BO33" s="312" t="b">
        <f t="shared" si="27"/>
        <v>0</v>
      </c>
      <c r="BP33" s="312" t="str">
        <f t="shared" si="28"/>
        <v>De vraag moet ingevuld worden.</v>
      </c>
      <c r="BQ33" s="312" t="str">
        <f t="shared" si="29"/>
        <v/>
      </c>
      <c r="BR33" s="312" t="str">
        <f t="shared" si="30"/>
        <v>Deze vraag moet minimaal antwoord 2, 3 of 4 hebben.</v>
      </c>
      <c r="BS33" s="312" t="str">
        <f t="shared" si="31"/>
        <v/>
      </c>
      <c r="BT33" s="312" t="str">
        <f t="shared" si="32"/>
        <v/>
      </c>
      <c r="BU33" s="312" t="str">
        <f t="shared" si="33"/>
        <v/>
      </c>
      <c r="BV33" s="312" t="str">
        <f t="shared" si="61"/>
        <v>De vraag moet ingevuld worden.</v>
      </c>
      <c r="BW33" s="312" t="str">
        <f t="shared" si="34"/>
        <v/>
      </c>
      <c r="BX33" s="312" t="str">
        <f t="shared" si="35"/>
        <v/>
      </c>
      <c r="BY33" s="312" t="str">
        <f t="shared" si="36"/>
        <v/>
      </c>
      <c r="BZ33" s="312" t="b">
        <f t="shared" si="62"/>
        <v>1</v>
      </c>
      <c r="CA33" s="312" t="b">
        <f t="shared" si="37"/>
        <v>0</v>
      </c>
      <c r="CB33" s="312" t="b">
        <f t="shared" si="63"/>
        <v>0</v>
      </c>
      <c r="CC33" s="312" t="str">
        <f t="shared" si="91"/>
        <v>E</v>
      </c>
      <c r="CD33" s="312" t="str">
        <f t="shared" si="91"/>
        <v>G</v>
      </c>
      <c r="CE33" s="312" t="str">
        <f t="shared" si="91"/>
        <v>G</v>
      </c>
      <c r="CF33" s="312" t="b">
        <f t="shared" si="39"/>
        <v>1</v>
      </c>
      <c r="CG33" s="312" t="str">
        <f t="shared" si="40"/>
        <v>Fase 2</v>
      </c>
      <c r="CH33" s="312" t="str">
        <f t="shared" si="64"/>
        <v>Fase 2</v>
      </c>
      <c r="CI33" s="312">
        <v>35</v>
      </c>
      <c r="CK33" s="312" t="str">
        <f t="shared" si="92"/>
        <v>Fase 2</v>
      </c>
      <c r="CL33" s="312">
        <f t="shared" si="41"/>
        <v>234</v>
      </c>
      <c r="CM33" s="312">
        <f t="shared" si="65"/>
        <v>4</v>
      </c>
      <c r="CN33" s="312">
        <f t="shared" si="66"/>
        <v>2</v>
      </c>
      <c r="CO33" s="312">
        <f t="shared" si="67"/>
        <v>4</v>
      </c>
    </row>
    <row r="34" spans="1:93" ht="30">
      <c r="A34" s="449"/>
      <c r="B34" s="450"/>
      <c r="C34" s="414"/>
      <c r="D34" s="372"/>
      <c r="E34" s="466" t="s">
        <v>18</v>
      </c>
      <c r="F34" s="467" t="s">
        <v>570</v>
      </c>
      <c r="G34" s="468" t="s">
        <v>283</v>
      </c>
      <c r="H34" s="531" t="str">
        <f t="shared" si="42"/>
        <v>E</v>
      </c>
      <c r="I34" s="532" t="str">
        <f t="shared" si="43"/>
        <v>G</v>
      </c>
      <c r="J34" s="523" t="str">
        <f t="shared" si="44"/>
        <v>G</v>
      </c>
      <c r="K34" s="534" t="s">
        <v>215</v>
      </c>
      <c r="L34" s="619"/>
      <c r="M34" s="382"/>
      <c r="N34" s="382"/>
      <c r="O34" s="383"/>
      <c r="P34" s="375"/>
      <c r="Q34" s="384"/>
      <c r="R34" s="375">
        <f t="shared" si="45"/>
        <v>15</v>
      </c>
      <c r="S34" s="384">
        <f t="shared" si="46"/>
        <v>0</v>
      </c>
      <c r="T34" s="674"/>
      <c r="U34" s="676"/>
      <c r="V34" s="375">
        <f t="shared" si="93"/>
        <v>0</v>
      </c>
      <c r="W34" s="384">
        <f t="shared" si="94"/>
        <v>0</v>
      </c>
      <c r="X34" s="367">
        <f t="shared" si="49"/>
        <v>0</v>
      </c>
      <c r="Y34" s="366" t="str">
        <f t="shared" si="50"/>
        <v/>
      </c>
      <c r="Z34" s="368" t="str">
        <f t="shared" si="51"/>
        <v>De vraag moet ingevuld worden.</v>
      </c>
      <c r="AA34" s="369">
        <f t="shared" si="68"/>
        <v>29</v>
      </c>
      <c r="AB34" s="316">
        <f t="shared" si="0"/>
        <v>12</v>
      </c>
      <c r="AC34" s="316" t="str">
        <f t="shared" si="1"/>
        <v>Hoe inspecteert u een gebouw/ complex?</v>
      </c>
      <c r="AD34" s="316" t="str">
        <f t="shared" si="52"/>
        <v>12 Hoe inspecteert u een gebouw/ complex?</v>
      </c>
      <c r="AE34" s="316" t="str">
        <f t="shared" si="2"/>
        <v>b Conditiemeting of prestatiemeting incl.
invloedsfactoren en symptomen</v>
      </c>
      <c r="AF34" s="316" t="str">
        <f t="shared" si="3"/>
        <v>12b</v>
      </c>
      <c r="AG34" s="316">
        <f t="shared" si="53"/>
        <v>0</v>
      </c>
      <c r="AH34" s="316">
        <f t="shared" si="53"/>
        <v>0</v>
      </c>
      <c r="AI34" s="316">
        <f t="shared" si="53"/>
        <v>0</v>
      </c>
      <c r="AJ34" s="316">
        <f t="shared" si="53"/>
        <v>0</v>
      </c>
      <c r="AK34" s="316">
        <f t="shared" si="54"/>
        <v>0</v>
      </c>
      <c r="AL34" s="316" t="e">
        <f t="shared" si="5"/>
        <v>#N/A</v>
      </c>
      <c r="AM34" s="316">
        <f t="shared" si="55"/>
        <v>0</v>
      </c>
      <c r="AN34" s="316">
        <f t="shared" si="56"/>
        <v>15</v>
      </c>
      <c r="AO34" s="312">
        <f t="shared" si="6"/>
        <v>0</v>
      </c>
      <c r="AP34" s="312" t="str">
        <f t="shared" si="7"/>
        <v/>
      </c>
      <c r="AQ34" s="312">
        <f t="shared" si="57"/>
        <v>0</v>
      </c>
      <c r="AR34" s="312" t="b">
        <f t="shared" si="8"/>
        <v>0</v>
      </c>
      <c r="AS34" s="312" t="b">
        <f t="shared" si="9"/>
        <v>1</v>
      </c>
      <c r="AT34" s="312" t="b">
        <f t="shared" si="10"/>
        <v>0</v>
      </c>
      <c r="AU34" s="312" t="b">
        <f t="shared" si="11"/>
        <v>0</v>
      </c>
      <c r="AV34" s="312" t="b">
        <f t="shared" si="12"/>
        <v>1</v>
      </c>
      <c r="AW34" s="312" t="b">
        <f t="shared" si="13"/>
        <v>0</v>
      </c>
      <c r="AX34" s="312">
        <f t="shared" si="14"/>
        <v>15</v>
      </c>
      <c r="AY34" s="312">
        <f t="shared" si="15"/>
        <v>0</v>
      </c>
      <c r="AZ34" s="312" t="b">
        <f t="shared" si="58"/>
        <v>0</v>
      </c>
      <c r="BA34" s="312" t="b">
        <f t="shared" si="59"/>
        <v>0</v>
      </c>
      <c r="BB34" s="312" t="b">
        <f t="shared" si="16"/>
        <v>0</v>
      </c>
      <c r="BC34" s="312" t="b">
        <f t="shared" si="17"/>
        <v>0</v>
      </c>
      <c r="BD34" s="312">
        <v>1</v>
      </c>
      <c r="BE34" s="312" t="b">
        <f t="shared" si="18"/>
        <v>0</v>
      </c>
      <c r="BF34" s="312" t="b">
        <f t="shared" si="19"/>
        <v>1</v>
      </c>
      <c r="BG34" s="312" t="b">
        <f t="shared" si="20"/>
        <v>0</v>
      </c>
      <c r="BH34" s="312" t="b">
        <f t="shared" si="21"/>
        <v>0</v>
      </c>
      <c r="BI34" s="312" t="b">
        <f t="shared" si="22"/>
        <v>1</v>
      </c>
      <c r="BJ34" s="312" t="b">
        <f t="shared" si="23"/>
        <v>0</v>
      </c>
      <c r="BK34" s="312" t="b">
        <f t="shared" si="24"/>
        <v>0</v>
      </c>
      <c r="BL34" s="312" t="b">
        <f t="shared" si="60"/>
        <v>0</v>
      </c>
      <c r="BM34" s="312" t="b">
        <f t="shared" si="25"/>
        <v>1</v>
      </c>
      <c r="BN34" s="312" t="b">
        <f t="shared" si="26"/>
        <v>0</v>
      </c>
      <c r="BO34" s="312" t="b">
        <f t="shared" si="27"/>
        <v>0</v>
      </c>
      <c r="BP34" s="312" t="str">
        <f t="shared" si="28"/>
        <v>De vraag moet ingevuld worden.</v>
      </c>
      <c r="BQ34" s="312" t="str">
        <f t="shared" si="29"/>
        <v/>
      </c>
      <c r="BR34" s="312" t="str">
        <f t="shared" si="30"/>
        <v>Deze vraag moet minimaal antwoord 2, 3 of 4 hebben.</v>
      </c>
      <c r="BS34" s="312" t="str">
        <f t="shared" si="31"/>
        <v/>
      </c>
      <c r="BT34" s="312" t="str">
        <f t="shared" si="32"/>
        <v/>
      </c>
      <c r="BU34" s="312" t="str">
        <f t="shared" si="33"/>
        <v/>
      </c>
      <c r="BV34" s="312" t="str">
        <f t="shared" si="61"/>
        <v>De vraag moet ingevuld worden.</v>
      </c>
      <c r="BW34" s="312" t="str">
        <f t="shared" si="34"/>
        <v/>
      </c>
      <c r="BX34" s="312" t="str">
        <f t="shared" si="35"/>
        <v/>
      </c>
      <c r="BY34" s="312" t="str">
        <f t="shared" si="36"/>
        <v/>
      </c>
      <c r="BZ34" s="312" t="b">
        <f t="shared" si="62"/>
        <v>1</v>
      </c>
      <c r="CA34" s="312" t="b">
        <f t="shared" si="37"/>
        <v>0</v>
      </c>
      <c r="CB34" s="312" t="b">
        <f t="shared" si="63"/>
        <v>0</v>
      </c>
      <c r="CC34" s="312" t="str">
        <f t="shared" si="91"/>
        <v>E</v>
      </c>
      <c r="CD34" s="312" t="str">
        <f t="shared" si="91"/>
        <v>G</v>
      </c>
      <c r="CE34" s="312" t="str">
        <f t="shared" si="91"/>
        <v>G</v>
      </c>
      <c r="CF34" s="312" t="b">
        <f t="shared" si="39"/>
        <v>0</v>
      </c>
      <c r="CG34" s="312" t="str">
        <f t="shared" si="40"/>
        <v/>
      </c>
      <c r="CH34" s="312" t="str">
        <f t="shared" si="64"/>
        <v>Fase 2</v>
      </c>
      <c r="CI34" s="312">
        <v>15</v>
      </c>
      <c r="CK34" s="312" t="str">
        <f t="shared" si="92"/>
        <v>Fase 2</v>
      </c>
      <c r="CL34" s="312">
        <f t="shared" si="41"/>
        <v>234</v>
      </c>
      <c r="CM34" s="312">
        <f t="shared" si="65"/>
        <v>4</v>
      </c>
      <c r="CN34" s="312">
        <f t="shared" si="66"/>
        <v>2</v>
      </c>
      <c r="CO34" s="312">
        <f t="shared" si="67"/>
        <v>4</v>
      </c>
    </row>
    <row r="35" spans="1:93" ht="15.75" thickBot="1">
      <c r="A35" s="456"/>
      <c r="B35" s="457"/>
      <c r="C35" s="336"/>
      <c r="D35" s="336"/>
      <c r="E35" s="472" t="s">
        <v>19</v>
      </c>
      <c r="F35" s="470" t="s">
        <v>285</v>
      </c>
      <c r="G35" s="471" t="s">
        <v>232</v>
      </c>
      <c r="H35" s="533" t="str">
        <f t="shared" si="42"/>
        <v>E</v>
      </c>
      <c r="I35" s="524" t="str">
        <f t="shared" si="43"/>
        <v>G</v>
      </c>
      <c r="J35" s="522" t="str">
        <f t="shared" si="44"/>
        <v>G</v>
      </c>
      <c r="K35" s="617" t="s">
        <v>216</v>
      </c>
      <c r="L35" s="618"/>
      <c r="M35" s="392"/>
      <c r="N35" s="392"/>
      <c r="O35" s="393"/>
      <c r="P35" s="394"/>
      <c r="Q35" s="395"/>
      <c r="R35" s="394">
        <f t="shared" si="45"/>
        <v>0</v>
      </c>
      <c r="S35" s="395">
        <f t="shared" si="46"/>
        <v>10</v>
      </c>
      <c r="T35" s="679"/>
      <c r="U35" s="680"/>
      <c r="V35" s="394">
        <f t="shared" si="93"/>
        <v>0</v>
      </c>
      <c r="W35" s="384">
        <f t="shared" si="94"/>
        <v>0</v>
      </c>
      <c r="X35" s="367" t="str">
        <f t="shared" si="49"/>
        <v/>
      </c>
      <c r="Y35" s="366">
        <f t="shared" si="50"/>
        <v>0</v>
      </c>
      <c r="Z35" s="368" t="str">
        <f t="shared" si="51"/>
        <v>De vraag moet ingevuld worden.</v>
      </c>
      <c r="AA35" s="369">
        <f t="shared" si="68"/>
        <v>30</v>
      </c>
      <c r="AB35" s="316">
        <f t="shared" si="0"/>
        <v>12</v>
      </c>
      <c r="AC35" s="316" t="str">
        <f t="shared" si="1"/>
        <v>Hoe inspecteert u een gebouw/ complex?</v>
      </c>
      <c r="AD35" s="316" t="str">
        <f t="shared" si="52"/>
        <v>12 Hoe inspecteert u een gebouw/ complex?</v>
      </c>
      <c r="AE35" s="316" t="str">
        <f t="shared" si="2"/>
        <v>c Inspecteur</v>
      </c>
      <c r="AF35" s="316" t="str">
        <f t="shared" si="3"/>
        <v>12c</v>
      </c>
      <c r="AG35" s="316">
        <f t="shared" si="53"/>
        <v>0</v>
      </c>
      <c r="AH35" s="316">
        <f t="shared" si="53"/>
        <v>0</v>
      </c>
      <c r="AI35" s="316">
        <f t="shared" si="53"/>
        <v>0</v>
      </c>
      <c r="AJ35" s="316">
        <f t="shared" si="53"/>
        <v>0</v>
      </c>
      <c r="AK35" s="316">
        <f t="shared" si="54"/>
        <v>0</v>
      </c>
      <c r="AL35" s="316" t="e">
        <f t="shared" si="5"/>
        <v>#N/A</v>
      </c>
      <c r="AM35" s="316">
        <f t="shared" si="55"/>
        <v>0</v>
      </c>
      <c r="AN35" s="316">
        <f t="shared" si="56"/>
        <v>0</v>
      </c>
      <c r="AO35" s="312" t="str">
        <f t="shared" si="6"/>
        <v/>
      </c>
      <c r="AP35" s="312">
        <f t="shared" si="7"/>
        <v>0</v>
      </c>
      <c r="AQ35" s="312">
        <f t="shared" si="57"/>
        <v>0</v>
      </c>
      <c r="AR35" s="312" t="b">
        <f t="shared" si="8"/>
        <v>0</v>
      </c>
      <c r="AS35" s="312" t="b">
        <f t="shared" si="9"/>
        <v>1</v>
      </c>
      <c r="AT35" s="312" t="b">
        <f t="shared" si="10"/>
        <v>0</v>
      </c>
      <c r="AU35" s="312" t="b">
        <f t="shared" si="11"/>
        <v>0</v>
      </c>
      <c r="AV35" s="312" t="b">
        <f t="shared" si="12"/>
        <v>1</v>
      </c>
      <c r="AW35" s="312" t="b">
        <f t="shared" si="13"/>
        <v>0</v>
      </c>
      <c r="AX35" s="312">
        <f t="shared" si="14"/>
        <v>0</v>
      </c>
      <c r="AY35" s="312">
        <f t="shared" si="15"/>
        <v>10</v>
      </c>
      <c r="AZ35" s="312" t="b">
        <f t="shared" si="58"/>
        <v>0</v>
      </c>
      <c r="BA35" s="312" t="b">
        <f t="shared" si="59"/>
        <v>0</v>
      </c>
      <c r="BB35" s="312" t="b">
        <f t="shared" si="16"/>
        <v>0</v>
      </c>
      <c r="BC35" s="312" t="b">
        <f t="shared" si="17"/>
        <v>0</v>
      </c>
      <c r="BD35" s="312">
        <v>1</v>
      </c>
      <c r="BE35" s="312" t="b">
        <f t="shared" si="18"/>
        <v>0</v>
      </c>
      <c r="BF35" s="312" t="b">
        <f t="shared" si="19"/>
        <v>1</v>
      </c>
      <c r="BG35" s="312" t="b">
        <f t="shared" si="20"/>
        <v>0</v>
      </c>
      <c r="BH35" s="312" t="b">
        <f t="shared" si="21"/>
        <v>0</v>
      </c>
      <c r="BI35" s="312" t="b">
        <f t="shared" si="22"/>
        <v>1</v>
      </c>
      <c r="BJ35" s="312" t="b">
        <f t="shared" si="23"/>
        <v>0</v>
      </c>
      <c r="BK35" s="312" t="b">
        <f t="shared" si="24"/>
        <v>0</v>
      </c>
      <c r="BL35" s="312" t="b">
        <f t="shared" si="60"/>
        <v>0</v>
      </c>
      <c r="BM35" s="312" t="b">
        <f t="shared" si="25"/>
        <v>0</v>
      </c>
      <c r="BN35" s="312" t="b">
        <f t="shared" si="26"/>
        <v>1</v>
      </c>
      <c r="BO35" s="312" t="b">
        <f t="shared" si="27"/>
        <v>0</v>
      </c>
      <c r="BP35" s="312" t="str">
        <f t="shared" si="28"/>
        <v>De vraag moet ingevuld worden.</v>
      </c>
      <c r="BQ35" s="312" t="str">
        <f t="shared" si="29"/>
        <v/>
      </c>
      <c r="BR35" s="312" t="str">
        <f t="shared" si="30"/>
        <v>Deze vraag moet minimaal antwoord 2, 3 of 4 hebben.</v>
      </c>
      <c r="BS35" s="312" t="str">
        <f t="shared" si="31"/>
        <v/>
      </c>
      <c r="BT35" s="312" t="str">
        <f t="shared" si="32"/>
        <v/>
      </c>
      <c r="BU35" s="312" t="str">
        <f t="shared" si="33"/>
        <v/>
      </c>
      <c r="BV35" s="312" t="str">
        <f t="shared" si="61"/>
        <v>De vraag moet ingevuld worden.</v>
      </c>
      <c r="BW35" s="312" t="str">
        <f t="shared" si="34"/>
        <v/>
      </c>
      <c r="BX35" s="312" t="str">
        <f t="shared" si="35"/>
        <v/>
      </c>
      <c r="BY35" s="312" t="str">
        <f t="shared" si="36"/>
        <v/>
      </c>
      <c r="BZ35" s="312" t="b">
        <f t="shared" si="62"/>
        <v>1</v>
      </c>
      <c r="CA35" s="312" t="b">
        <f t="shared" si="37"/>
        <v>0</v>
      </c>
      <c r="CB35" s="312" t="b">
        <f t="shared" si="63"/>
        <v>0</v>
      </c>
      <c r="CC35" s="312" t="str">
        <f t="shared" si="91"/>
        <v>E</v>
      </c>
      <c r="CD35" s="312" t="str">
        <f t="shared" si="91"/>
        <v>G</v>
      </c>
      <c r="CE35" s="312" t="str">
        <f t="shared" si="91"/>
        <v>G</v>
      </c>
      <c r="CF35" s="312" t="b">
        <f t="shared" si="39"/>
        <v>0</v>
      </c>
      <c r="CG35" s="312">
        <f t="shared" si="40"/>
        <v>0</v>
      </c>
      <c r="CH35" s="312">
        <f t="shared" si="64"/>
        <v>0</v>
      </c>
      <c r="CJ35" s="312">
        <v>10</v>
      </c>
      <c r="CK35" s="312" t="str">
        <f t="shared" si="92"/>
        <v>Fase 2</v>
      </c>
      <c r="CL35" s="312">
        <f t="shared" si="41"/>
        <v>234</v>
      </c>
      <c r="CM35" s="312">
        <f t="shared" si="65"/>
        <v>4</v>
      </c>
      <c r="CN35" s="312">
        <f t="shared" si="66"/>
        <v>2</v>
      </c>
      <c r="CO35" s="312">
        <f t="shared" si="67"/>
        <v>4</v>
      </c>
    </row>
    <row r="36" spans="1:93" ht="15">
      <c r="A36" s="400" t="s">
        <v>286</v>
      </c>
      <c r="B36" s="401" t="s">
        <v>287</v>
      </c>
      <c r="C36" s="376">
        <v>13</v>
      </c>
      <c r="D36" s="415" t="s">
        <v>288</v>
      </c>
      <c r="E36" s="463" t="s">
        <v>17</v>
      </c>
      <c r="F36" s="467" t="s">
        <v>289</v>
      </c>
      <c r="G36" s="468" t="s">
        <v>290</v>
      </c>
      <c r="H36" s="520" t="str">
        <f t="shared" si="42"/>
        <v>E</v>
      </c>
      <c r="I36" s="526" t="str">
        <f t="shared" si="43"/>
        <v>M</v>
      </c>
      <c r="J36" s="517" t="str">
        <f t="shared" si="44"/>
        <v>M</v>
      </c>
      <c r="K36" s="613" t="s">
        <v>215</v>
      </c>
      <c r="L36" s="614"/>
      <c r="M36" s="377"/>
      <c r="N36" s="377"/>
      <c r="O36" s="378"/>
      <c r="P36" s="379"/>
      <c r="Q36" s="380"/>
      <c r="R36" s="379">
        <f t="shared" si="45"/>
        <v>20</v>
      </c>
      <c r="S36" s="380">
        <f t="shared" si="46"/>
        <v>0</v>
      </c>
      <c r="T36" s="673">
        <f>SUMIF($AV36:$AV40,TRUE,R36:R40)</f>
        <v>50</v>
      </c>
      <c r="U36" s="675">
        <f>SUMIF($AV36:$AV40,TRUE,S36:S40)</f>
        <v>10</v>
      </c>
      <c r="V36" s="379">
        <f t="shared" si="93"/>
        <v>0</v>
      </c>
      <c r="W36" s="384">
        <f t="shared" si="94"/>
        <v>0</v>
      </c>
      <c r="X36" s="367">
        <f t="shared" si="49"/>
        <v>0</v>
      </c>
      <c r="Y36" s="366" t="str">
        <f t="shared" si="50"/>
        <v/>
      </c>
      <c r="Z36" s="368" t="str">
        <f t="shared" si="51"/>
        <v>De vraag moet ingevuld worden.</v>
      </c>
      <c r="AA36" s="369">
        <f t="shared" si="68"/>
        <v>31</v>
      </c>
      <c r="AB36" s="316">
        <f t="shared" si="0"/>
        <v>13</v>
      </c>
      <c r="AC36" s="316" t="str">
        <f t="shared" si="1"/>
        <v>Hoe stelt u onderhoudsscenario's op?</v>
      </c>
      <c r="AD36" s="316" t="str">
        <f t="shared" si="52"/>
        <v>13 Hoe stelt u onderhoudsscenario's op?</v>
      </c>
      <c r="AE36" s="316" t="str">
        <f t="shared" si="2"/>
        <v>a Scenario</v>
      </c>
      <c r="AF36" s="316" t="str">
        <f t="shared" si="3"/>
        <v>13a</v>
      </c>
      <c r="AG36" s="316">
        <f t="shared" si="53"/>
        <v>0</v>
      </c>
      <c r="AH36" s="316">
        <f t="shared" si="53"/>
        <v>0</v>
      </c>
      <c r="AI36" s="316">
        <f t="shared" si="53"/>
        <v>0</v>
      </c>
      <c r="AJ36" s="316">
        <f t="shared" si="53"/>
        <v>0</v>
      </c>
      <c r="AK36" s="316">
        <f t="shared" si="54"/>
        <v>0</v>
      </c>
      <c r="AL36" s="316" t="e">
        <f t="shared" si="5"/>
        <v>#N/A</v>
      </c>
      <c r="AM36" s="316">
        <f t="shared" si="55"/>
        <v>0</v>
      </c>
      <c r="AN36" s="316">
        <f t="shared" si="56"/>
        <v>20</v>
      </c>
      <c r="AO36" s="312">
        <f t="shared" si="6"/>
        <v>0</v>
      </c>
      <c r="AP36" s="312" t="str">
        <f t="shared" si="7"/>
        <v/>
      </c>
      <c r="AQ36" s="312">
        <f t="shared" si="57"/>
        <v>0</v>
      </c>
      <c r="AR36" s="312" t="b">
        <f t="shared" si="8"/>
        <v>1</v>
      </c>
      <c r="AS36" s="312" t="b">
        <f t="shared" si="9"/>
        <v>0</v>
      </c>
      <c r="AT36" s="312" t="b">
        <f t="shared" si="10"/>
        <v>0</v>
      </c>
      <c r="AU36" s="312" t="b">
        <f t="shared" si="11"/>
        <v>0</v>
      </c>
      <c r="AV36" s="312" t="b">
        <f t="shared" si="12"/>
        <v>1</v>
      </c>
      <c r="AW36" s="312" t="b">
        <f t="shared" si="13"/>
        <v>0</v>
      </c>
      <c r="AX36" s="312">
        <f t="shared" si="14"/>
        <v>20</v>
      </c>
      <c r="AY36" s="312">
        <f t="shared" si="15"/>
        <v>0</v>
      </c>
      <c r="AZ36" s="312" t="b">
        <f t="shared" si="58"/>
        <v>0</v>
      </c>
      <c r="BA36" s="312" t="b">
        <f t="shared" si="59"/>
        <v>0</v>
      </c>
      <c r="BB36" s="312" t="b">
        <f t="shared" si="16"/>
        <v>0</v>
      </c>
      <c r="BC36" s="312" t="b">
        <f t="shared" si="17"/>
        <v>0</v>
      </c>
      <c r="BD36" s="312">
        <v>1</v>
      </c>
      <c r="BE36" s="312" t="b">
        <f t="shared" si="18"/>
        <v>1</v>
      </c>
      <c r="BF36" s="312" t="b">
        <f t="shared" si="19"/>
        <v>0</v>
      </c>
      <c r="BG36" s="312" t="b">
        <f t="shared" si="20"/>
        <v>0</v>
      </c>
      <c r="BH36" s="312" t="b">
        <f t="shared" si="21"/>
        <v>1</v>
      </c>
      <c r="BI36" s="312" t="b">
        <f t="shared" si="22"/>
        <v>0</v>
      </c>
      <c r="BJ36" s="312" t="b">
        <f t="shared" si="23"/>
        <v>0</v>
      </c>
      <c r="BK36" s="312" t="b">
        <f t="shared" si="24"/>
        <v>0</v>
      </c>
      <c r="BL36" s="312" t="b">
        <f t="shared" si="60"/>
        <v>0</v>
      </c>
      <c r="BM36" s="312" t="b">
        <f t="shared" si="25"/>
        <v>1</v>
      </c>
      <c r="BN36" s="312" t="b">
        <f t="shared" si="26"/>
        <v>0</v>
      </c>
      <c r="BO36" s="312" t="b">
        <f t="shared" si="27"/>
        <v>0</v>
      </c>
      <c r="BP36" s="312" t="str">
        <f t="shared" si="28"/>
        <v>De vraag moet ingevuld worden.</v>
      </c>
      <c r="BQ36" s="312" t="str">
        <f t="shared" si="29"/>
        <v>Een MUST-vraag moet minimaal antwoord 3 of 4 hebben.</v>
      </c>
      <c r="BR36" s="312" t="str">
        <f t="shared" si="30"/>
        <v/>
      </c>
      <c r="BS36" s="312" t="str">
        <f t="shared" si="31"/>
        <v/>
      </c>
      <c r="BT36" s="312" t="str">
        <f t="shared" si="32"/>
        <v/>
      </c>
      <c r="BU36" s="312" t="str">
        <f t="shared" si="33"/>
        <v/>
      </c>
      <c r="BV36" s="312" t="str">
        <f t="shared" si="61"/>
        <v>De vraag moet ingevuld worden.</v>
      </c>
      <c r="BW36" s="312" t="str">
        <f t="shared" si="34"/>
        <v/>
      </c>
      <c r="BX36" s="312" t="str">
        <f t="shared" si="35"/>
        <v/>
      </c>
      <c r="BY36" s="312" t="str">
        <f t="shared" si="36"/>
        <v/>
      </c>
      <c r="BZ36" s="312" t="b">
        <f t="shared" si="62"/>
        <v>1</v>
      </c>
      <c r="CA36" s="312" t="b">
        <f t="shared" si="37"/>
        <v>0</v>
      </c>
      <c r="CB36" s="312" t="b">
        <f t="shared" si="63"/>
        <v>0</v>
      </c>
      <c r="CC36" s="312" t="str">
        <f t="shared" si="91"/>
        <v>E</v>
      </c>
      <c r="CD36" s="312" t="str">
        <f t="shared" si="91"/>
        <v>M</v>
      </c>
      <c r="CE36" s="312" t="str">
        <f t="shared" si="91"/>
        <v>M</v>
      </c>
      <c r="CF36" s="312" t="b">
        <f t="shared" si="39"/>
        <v>1</v>
      </c>
      <c r="CG36" s="312" t="str">
        <f t="shared" si="40"/>
        <v>Fase 3</v>
      </c>
      <c r="CH36" s="312" t="str">
        <f t="shared" si="64"/>
        <v>Fase 3</v>
      </c>
      <c r="CI36" s="312">
        <v>20</v>
      </c>
      <c r="CK36" s="312" t="str">
        <f>A36</f>
        <v>Fase 3</v>
      </c>
      <c r="CL36" s="312">
        <f t="shared" si="41"/>
        <v>34</v>
      </c>
      <c r="CM36" s="312">
        <f t="shared" si="65"/>
        <v>4</v>
      </c>
      <c r="CN36" s="312">
        <f t="shared" si="66"/>
        <v>3</v>
      </c>
      <c r="CO36" s="312">
        <f t="shared" si="67"/>
        <v>4</v>
      </c>
    </row>
    <row r="37" spans="1:93" ht="15">
      <c r="A37" s="447"/>
      <c r="B37" s="448"/>
      <c r="C37" s="405"/>
      <c r="D37" s="405"/>
      <c r="E37" s="466" t="s">
        <v>18</v>
      </c>
      <c r="F37" s="467" t="s">
        <v>291</v>
      </c>
      <c r="G37" s="468" t="s">
        <v>292</v>
      </c>
      <c r="H37" s="518" t="str">
        <f t="shared" si="42"/>
        <v>E</v>
      </c>
      <c r="I37" s="532" t="str">
        <f t="shared" si="43"/>
        <v>M</v>
      </c>
      <c r="J37" s="523" t="str">
        <f t="shared" si="44"/>
        <v>M</v>
      </c>
      <c r="K37" s="534" t="s">
        <v>215</v>
      </c>
      <c r="L37" s="619"/>
      <c r="M37" s="382"/>
      <c r="N37" s="382"/>
      <c r="O37" s="383"/>
      <c r="P37" s="375"/>
      <c r="Q37" s="384"/>
      <c r="R37" s="375">
        <f t="shared" si="45"/>
        <v>15</v>
      </c>
      <c r="S37" s="384">
        <f t="shared" si="46"/>
        <v>0</v>
      </c>
      <c r="T37" s="674"/>
      <c r="U37" s="676"/>
      <c r="V37" s="375">
        <f t="shared" si="93"/>
        <v>0</v>
      </c>
      <c r="W37" s="384">
        <f t="shared" si="94"/>
        <v>0</v>
      </c>
      <c r="X37" s="367">
        <f t="shared" si="49"/>
        <v>0</v>
      </c>
      <c r="Y37" s="366" t="str">
        <f t="shared" si="50"/>
        <v/>
      </c>
      <c r="Z37" s="368" t="str">
        <f t="shared" si="51"/>
        <v>De vraag moet ingevuld worden.</v>
      </c>
      <c r="AA37" s="369">
        <f t="shared" si="68"/>
        <v>32</v>
      </c>
      <c r="AB37" s="316">
        <f t="shared" si="0"/>
        <v>13</v>
      </c>
      <c r="AC37" s="316" t="str">
        <f t="shared" si="1"/>
        <v>Hoe stelt u onderhoudsscenario's op?</v>
      </c>
      <c r="AD37" s="316" t="str">
        <f t="shared" si="52"/>
        <v>13 Hoe stelt u onderhoudsscenario's op?</v>
      </c>
      <c r="AE37" s="316" t="str">
        <f t="shared" si="2"/>
        <v>b Financiële resultaten / NCW</v>
      </c>
      <c r="AF37" s="316" t="str">
        <f t="shared" si="3"/>
        <v>13b</v>
      </c>
      <c r="AG37" s="316">
        <f t="shared" si="53"/>
        <v>0</v>
      </c>
      <c r="AH37" s="316">
        <f t="shared" si="53"/>
        <v>0</v>
      </c>
      <c r="AI37" s="316">
        <f t="shared" si="53"/>
        <v>0</v>
      </c>
      <c r="AJ37" s="316">
        <f t="shared" si="53"/>
        <v>0</v>
      </c>
      <c r="AK37" s="316">
        <f t="shared" si="54"/>
        <v>0</v>
      </c>
      <c r="AL37" s="316" t="e">
        <f t="shared" si="5"/>
        <v>#N/A</v>
      </c>
      <c r="AM37" s="316">
        <f t="shared" si="55"/>
        <v>0</v>
      </c>
      <c r="AN37" s="316">
        <f t="shared" si="56"/>
        <v>15</v>
      </c>
      <c r="AO37" s="312">
        <f t="shared" si="6"/>
        <v>0</v>
      </c>
      <c r="AP37" s="312" t="str">
        <f t="shared" si="7"/>
        <v/>
      </c>
      <c r="AQ37" s="312">
        <f t="shared" si="57"/>
        <v>0</v>
      </c>
      <c r="AR37" s="312" t="b">
        <f t="shared" si="8"/>
        <v>1</v>
      </c>
      <c r="AS37" s="312" t="b">
        <f t="shared" si="9"/>
        <v>0</v>
      </c>
      <c r="AT37" s="312" t="b">
        <f t="shared" si="10"/>
        <v>0</v>
      </c>
      <c r="AU37" s="312" t="b">
        <f t="shared" si="11"/>
        <v>0</v>
      </c>
      <c r="AV37" s="312" t="b">
        <f t="shared" si="12"/>
        <v>1</v>
      </c>
      <c r="AW37" s="312" t="b">
        <f t="shared" si="13"/>
        <v>0</v>
      </c>
      <c r="AX37" s="312">
        <f t="shared" si="14"/>
        <v>15</v>
      </c>
      <c r="AY37" s="312">
        <f t="shared" si="15"/>
        <v>0</v>
      </c>
      <c r="AZ37" s="312" t="b">
        <f t="shared" si="58"/>
        <v>0</v>
      </c>
      <c r="BA37" s="312" t="b">
        <f t="shared" si="59"/>
        <v>0</v>
      </c>
      <c r="BB37" s="312" t="b">
        <f t="shared" si="16"/>
        <v>0</v>
      </c>
      <c r="BC37" s="312" t="b">
        <f t="shared" si="17"/>
        <v>0</v>
      </c>
      <c r="BD37" s="312">
        <v>1</v>
      </c>
      <c r="BE37" s="312" t="b">
        <f t="shared" si="18"/>
        <v>1</v>
      </c>
      <c r="BF37" s="312" t="b">
        <f t="shared" si="19"/>
        <v>0</v>
      </c>
      <c r="BG37" s="312" t="b">
        <f t="shared" si="20"/>
        <v>0</v>
      </c>
      <c r="BH37" s="312" t="b">
        <f t="shared" si="21"/>
        <v>1</v>
      </c>
      <c r="BI37" s="312" t="b">
        <f t="shared" si="22"/>
        <v>0</v>
      </c>
      <c r="BJ37" s="312" t="b">
        <f t="shared" si="23"/>
        <v>0</v>
      </c>
      <c r="BK37" s="312" t="b">
        <f t="shared" si="24"/>
        <v>0</v>
      </c>
      <c r="BL37" s="312" t="b">
        <f t="shared" si="60"/>
        <v>0</v>
      </c>
      <c r="BM37" s="312" t="b">
        <f t="shared" si="25"/>
        <v>1</v>
      </c>
      <c r="BN37" s="312" t="b">
        <f t="shared" si="26"/>
        <v>0</v>
      </c>
      <c r="BO37" s="312" t="b">
        <f t="shared" si="27"/>
        <v>0</v>
      </c>
      <c r="BP37" s="312" t="str">
        <f t="shared" si="28"/>
        <v>De vraag moet ingevuld worden.</v>
      </c>
      <c r="BQ37" s="312" t="str">
        <f t="shared" si="29"/>
        <v>Een MUST-vraag moet minimaal antwoord 3 of 4 hebben.</v>
      </c>
      <c r="BR37" s="312" t="str">
        <f t="shared" si="30"/>
        <v/>
      </c>
      <c r="BS37" s="312" t="str">
        <f t="shared" si="31"/>
        <v/>
      </c>
      <c r="BT37" s="312" t="str">
        <f t="shared" si="32"/>
        <v/>
      </c>
      <c r="BU37" s="312" t="str">
        <f t="shared" si="33"/>
        <v/>
      </c>
      <c r="BV37" s="312" t="str">
        <f t="shared" si="61"/>
        <v>De vraag moet ingevuld worden.</v>
      </c>
      <c r="BW37" s="312" t="str">
        <f t="shared" si="34"/>
        <v/>
      </c>
      <c r="BX37" s="312" t="str">
        <f t="shared" si="35"/>
        <v/>
      </c>
      <c r="BY37" s="312" t="str">
        <f t="shared" si="36"/>
        <v/>
      </c>
      <c r="BZ37" s="312" t="b">
        <f t="shared" si="62"/>
        <v>1</v>
      </c>
      <c r="CA37" s="312" t="b">
        <f t="shared" si="37"/>
        <v>0</v>
      </c>
      <c r="CB37" s="312" t="b">
        <f t="shared" si="63"/>
        <v>0</v>
      </c>
      <c r="CC37" s="312" t="str">
        <f t="shared" si="91"/>
        <v>E</v>
      </c>
      <c r="CD37" s="312" t="str">
        <f t="shared" si="91"/>
        <v>M</v>
      </c>
      <c r="CE37" s="312" t="str">
        <f t="shared" si="91"/>
        <v>M</v>
      </c>
      <c r="CF37" s="312" t="b">
        <f t="shared" si="39"/>
        <v>0</v>
      </c>
      <c r="CG37" s="312" t="str">
        <f t="shared" si="40"/>
        <v/>
      </c>
      <c r="CH37" s="312" t="str">
        <f t="shared" si="64"/>
        <v>Fase 3</v>
      </c>
      <c r="CI37" s="312">
        <v>15</v>
      </c>
      <c r="CK37" s="312" t="str">
        <f>CK36</f>
        <v>Fase 3</v>
      </c>
      <c r="CL37" s="312">
        <f t="shared" si="41"/>
        <v>34</v>
      </c>
      <c r="CM37" s="312">
        <f t="shared" si="65"/>
        <v>4</v>
      </c>
      <c r="CN37" s="312">
        <f t="shared" si="66"/>
        <v>3</v>
      </c>
      <c r="CO37" s="312">
        <f t="shared" si="67"/>
        <v>4</v>
      </c>
    </row>
    <row r="38" spans="1:93" ht="15">
      <c r="A38" s="447"/>
      <c r="B38" s="448"/>
      <c r="C38" s="405"/>
      <c r="D38" s="405"/>
      <c r="E38" s="466" t="s">
        <v>19</v>
      </c>
      <c r="F38" s="467" t="s">
        <v>293</v>
      </c>
      <c r="G38" s="468" t="s">
        <v>294</v>
      </c>
      <c r="H38" s="518" t="str">
        <f t="shared" si="42"/>
        <v>E</v>
      </c>
      <c r="I38" s="607" t="str">
        <f t="shared" si="43"/>
        <v>(O)</v>
      </c>
      <c r="J38" s="523" t="str">
        <f t="shared" si="44"/>
        <v>M</v>
      </c>
      <c r="K38" s="534" t="s">
        <v>215</v>
      </c>
      <c r="L38" s="619"/>
      <c r="M38" s="382"/>
      <c r="N38" s="382"/>
      <c r="O38" s="383"/>
      <c r="P38" s="375"/>
      <c r="Q38" s="384"/>
      <c r="R38" s="375">
        <f t="shared" si="45"/>
        <v>15</v>
      </c>
      <c r="S38" s="384">
        <f t="shared" si="46"/>
        <v>0</v>
      </c>
      <c r="T38" s="674"/>
      <c r="U38" s="676"/>
      <c r="V38" s="375">
        <f t="shared" si="93"/>
        <v>0</v>
      </c>
      <c r="W38" s="384">
        <f t="shared" si="94"/>
        <v>0</v>
      </c>
      <c r="X38" s="367">
        <f t="shared" si="49"/>
        <v>0</v>
      </c>
      <c r="Y38" s="366" t="str">
        <f t="shared" si="50"/>
        <v/>
      </c>
      <c r="Z38" s="368" t="str">
        <f t="shared" si="51"/>
        <v>De vraag moet ingevuld worden.</v>
      </c>
      <c r="AA38" s="369">
        <f t="shared" si="68"/>
        <v>33</v>
      </c>
      <c r="AB38" s="316">
        <f t="shared" si="0"/>
        <v>13</v>
      </c>
      <c r="AC38" s="316" t="str">
        <f t="shared" si="1"/>
        <v>Hoe stelt u onderhoudsscenario's op?</v>
      </c>
      <c r="AD38" s="316" t="str">
        <f t="shared" si="52"/>
        <v>13 Hoe stelt u onderhoudsscenario's op?</v>
      </c>
      <c r="AE38" s="316" t="str">
        <f t="shared" si="2"/>
        <v>c Balanceren kwaliteitsuitgangspunten</v>
      </c>
      <c r="AF38" s="316" t="str">
        <f t="shared" si="3"/>
        <v>13c</v>
      </c>
      <c r="AG38" s="316">
        <f t="shared" si="53"/>
        <v>0</v>
      </c>
      <c r="AH38" s="316">
        <f t="shared" si="53"/>
        <v>0</v>
      </c>
      <c r="AI38" s="316">
        <f t="shared" si="53"/>
        <v>0</v>
      </c>
      <c r="AJ38" s="316">
        <f t="shared" si="53"/>
        <v>0</v>
      </c>
      <c r="AK38" s="316">
        <f t="shared" si="54"/>
        <v>0</v>
      </c>
      <c r="AL38" s="316" t="e">
        <f t="shared" si="5"/>
        <v>#N/A</v>
      </c>
      <c r="AM38" s="316">
        <f t="shared" si="55"/>
        <v>0</v>
      </c>
      <c r="AN38" s="316">
        <f t="shared" si="56"/>
        <v>15</v>
      </c>
      <c r="AO38" s="312">
        <f aca="true" t="shared" si="95" ref="AO38:AO56">IF(K38=type_o,AM38*R38,"")</f>
        <v>0</v>
      </c>
      <c r="AP38" s="312" t="str">
        <f aca="true" t="shared" si="96" ref="AP38:AP56">IF(K38=type_k,AM38*S38,"")</f>
        <v/>
      </c>
      <c r="AQ38" s="312">
        <f t="shared" si="57"/>
        <v>0</v>
      </c>
      <c r="AR38" s="312" t="b">
        <f t="shared" si="8"/>
        <v>0</v>
      </c>
      <c r="AS38" s="312" t="b">
        <f t="shared" si="9"/>
        <v>0</v>
      </c>
      <c r="AT38" s="312" t="b">
        <f t="shared" si="10"/>
        <v>0</v>
      </c>
      <c r="AU38" s="312" t="b">
        <f t="shared" si="11"/>
        <v>0</v>
      </c>
      <c r="AV38" s="312" t="b">
        <f t="shared" si="12"/>
        <v>1</v>
      </c>
      <c r="AW38" s="312" t="b">
        <f aca="true" t="shared" si="97" ref="AW38:AW56">VLOOKUP($AF38,vragen_must_tijdelijk,vragen_uma_kolom_gekozen,FALSE)</f>
        <v>0</v>
      </c>
      <c r="AX38" s="312">
        <f t="shared" si="14"/>
        <v>15</v>
      </c>
      <c r="AY38" s="312">
        <f t="shared" si="15"/>
        <v>0</v>
      </c>
      <c r="AZ38" s="312" t="b">
        <f t="shared" si="58"/>
        <v>0</v>
      </c>
      <c r="BA38" s="312" t="b">
        <f t="shared" si="59"/>
        <v>0</v>
      </c>
      <c r="BB38" s="312" t="b">
        <f aca="true" t="shared" si="98" ref="BB38:BB56">AND(AV38,AS38,AU38)</f>
        <v>0</v>
      </c>
      <c r="BC38" s="312" t="b">
        <f aca="true" t="shared" si="99" ref="BC38:BC56">AND(AV38,AT38,AU38)</f>
        <v>0</v>
      </c>
      <c r="BD38" s="312">
        <v>1</v>
      </c>
      <c r="BE38" s="312" t="b">
        <f aca="true" t="shared" si="100" ref="BE38:BE56">AND(AR38,$AV38,NOT(BA38))</f>
        <v>0</v>
      </c>
      <c r="BF38" s="312" t="b">
        <f aca="true" t="shared" si="101" ref="BF38:BF56">AND(AS38,$AV38,NOT(BB38))</f>
        <v>0</v>
      </c>
      <c r="BG38" s="312" t="b">
        <f aca="true" t="shared" si="102" ref="BG38:BG56">AND(AT38,$AV38,NOT(BC38))</f>
        <v>0</v>
      </c>
      <c r="BH38" s="312" t="b">
        <f aca="true" t="shared" si="103" ref="BH38:BH56">AND(AR38,$AV38)</f>
        <v>0</v>
      </c>
      <c r="BI38" s="312" t="b">
        <f aca="true" t="shared" si="104" ref="BI38:BI56">AND(AS38,$AV38)</f>
        <v>0</v>
      </c>
      <c r="BJ38" s="312" t="b">
        <f aca="true" t="shared" si="105" ref="BJ38:BJ56">AND(AT38,$AV38)</f>
        <v>0</v>
      </c>
      <c r="BK38" s="312" t="b">
        <f aca="true" t="shared" si="106" ref="BK38:BK56">AND(AV38,OR(AS38,AT38),NOT(ISERROR(FIND(TEXT(AK38,"0"),scores_must))))</f>
        <v>0</v>
      </c>
      <c r="BL38" s="312" t="b">
        <f t="shared" si="60"/>
        <v>0</v>
      </c>
      <c r="BM38" s="312" t="b">
        <f t="shared" si="25"/>
        <v>1</v>
      </c>
      <c r="BN38" s="312" t="b">
        <f t="shared" si="26"/>
        <v>0</v>
      </c>
      <c r="BO38" s="312" t="b">
        <f aca="true" t="shared" si="107" ref="BO38:BO56">(L38&lt;&gt;"")</f>
        <v>0</v>
      </c>
      <c r="BP38" s="312" t="str">
        <f t="shared" si="28"/>
        <v>De vraag moet ingevuld worden.</v>
      </c>
      <c r="BQ38" s="312" t="str">
        <f aca="true" t="shared" si="108" ref="BQ38:BQ56">IF(AR38,IF(BA38,"",vraag_voorwaarde_must),"")</f>
        <v/>
      </c>
      <c r="BR38" s="312" t="str">
        <f aca="true" t="shared" si="109" ref="BR38:BR56">IF(AS38,IF(BB38,"",vraag_voorwaarde_gewone_1),"")</f>
        <v/>
      </c>
      <c r="BS38" s="312" t="str">
        <f aca="true" t="shared" si="110" ref="BS38:BS56">IF(AT38,IF(BC38,"",""),"")</f>
        <v/>
      </c>
      <c r="BT38" s="312" t="str">
        <f aca="true" t="shared" si="111" ref="BT38:BT56">IF(AW38,IF(AZ38,"",vraag_voorwaarde_must_tijdelijk),"")</f>
        <v/>
      </c>
      <c r="BU38" s="312">
        <f aca="true" t="shared" si="112" ref="BU38:BU56">IF(BX38&lt;&gt;"",IF(BZ38,"",VLOOKUP(BX38,hulptabel_ontwikkel,2,FALSE)),"")</f>
        <v>0</v>
      </c>
      <c r="BV38" s="312" t="str">
        <f t="shared" si="61"/>
        <v>De vraag moet ingevuld worden.</v>
      </c>
      <c r="BW38" s="312" t="str">
        <f aca="true" t="shared" si="113" ref="BW38:BW56">IF(AND(AV38,AZ38,AK38=2),vraag_voorwaarde_must_tijdelijk_a_2,"")</f>
        <v/>
      </c>
      <c r="BX38" s="312" t="str">
        <f aca="true" t="shared" si="114" ref="BX38:BX56">IF(OR(CD38=CE38,AND(CD38=lbl_vraag_must_ontwikkel,CE38=lbl_vraag_extra,FALSE)),"",IF(CE38="","G",CE38))</f>
        <v>M</v>
      </c>
      <c r="BY38" s="312">
        <f aca="true" t="shared" si="115" ref="BY38:BY56">IF(BX38&lt;&gt;"",VLOOKUP(BX38,hulptabel_ontwikkel,3,FALSE),"")</f>
        <v>34</v>
      </c>
      <c r="BZ38" s="312" t="b">
        <f t="shared" si="62"/>
        <v>0</v>
      </c>
      <c r="CA38" s="312" t="b">
        <f aca="true" t="shared" si="116" ref="CA38:CA56">VLOOKUP($AF38,vragen_ontwikkel,vragen_uma_kolom_gekozen,FALSE)</f>
        <v>1</v>
      </c>
      <c r="CB38" s="312" t="b">
        <f t="shared" si="63"/>
        <v>0</v>
      </c>
      <c r="CC38" s="312" t="str">
        <f t="shared" si="91"/>
        <v>E</v>
      </c>
      <c r="CD38" s="312" t="str">
        <f t="shared" si="91"/>
        <v>(O)</v>
      </c>
      <c r="CE38" s="312" t="str">
        <f t="shared" si="91"/>
        <v>M</v>
      </c>
      <c r="CF38" s="312" t="b">
        <f aca="true" t="shared" si="117" ref="CF38:CF56">A38&lt;&gt;""</f>
        <v>0</v>
      </c>
      <c r="CG38" s="312">
        <f aca="true" t="shared" si="118" ref="CG38:CG56">IF(AND(NOT(CF38),CF37,AV37),"",A38)</f>
        <v>0</v>
      </c>
      <c r="CH38" s="312">
        <f t="shared" si="64"/>
        <v>0</v>
      </c>
      <c r="CI38" s="312">
        <v>15</v>
      </c>
      <c r="CK38" s="312" t="str">
        <f>CK37</f>
        <v>Fase 3</v>
      </c>
      <c r="CL38" s="312">
        <f aca="true" t="shared" si="119" ref="CL38:CL56">VLOOKUP($AF38,scores_mogelijk,vragen_uma_kolom_gekozen,FALSE)</f>
        <v>1234</v>
      </c>
      <c r="CM38" s="312">
        <f t="shared" si="65"/>
        <v>4</v>
      </c>
      <c r="CN38" s="312">
        <f t="shared" si="66"/>
        <v>3</v>
      </c>
      <c r="CO38" s="312">
        <f t="shared" si="67"/>
        <v>4</v>
      </c>
    </row>
    <row r="39" spans="1:93" ht="15">
      <c r="A39" s="447"/>
      <c r="B39" s="448"/>
      <c r="C39" s="405"/>
      <c r="D39" s="405"/>
      <c r="E39" s="466" t="s">
        <v>20</v>
      </c>
      <c r="F39" s="467" t="s">
        <v>295</v>
      </c>
      <c r="G39" s="468" t="s">
        <v>296</v>
      </c>
      <c r="H39" s="534" t="str">
        <f t="shared" si="42"/>
        <v>E</v>
      </c>
      <c r="I39" s="532" t="str">
        <f t="shared" si="43"/>
        <v>G</v>
      </c>
      <c r="J39" s="523" t="str">
        <f t="shared" si="44"/>
        <v>G</v>
      </c>
      <c r="K39" s="534" t="s">
        <v>216</v>
      </c>
      <c r="L39" s="619"/>
      <c r="M39" s="382"/>
      <c r="N39" s="382"/>
      <c r="O39" s="383"/>
      <c r="P39" s="375"/>
      <c r="Q39" s="384"/>
      <c r="R39" s="375">
        <f t="shared" si="45"/>
        <v>0</v>
      </c>
      <c r="S39" s="384">
        <f t="shared" si="46"/>
        <v>5</v>
      </c>
      <c r="T39" s="674"/>
      <c r="U39" s="676"/>
      <c r="V39" s="388"/>
      <c r="W39" s="389"/>
      <c r="X39" s="367" t="str">
        <f t="shared" si="49"/>
        <v/>
      </c>
      <c r="Y39" s="366">
        <f t="shared" si="50"/>
        <v>0</v>
      </c>
      <c r="Z39" s="368" t="str">
        <f t="shared" si="51"/>
        <v>De vraag moet ingevuld worden.</v>
      </c>
      <c r="AA39" s="369">
        <f t="shared" si="68"/>
        <v>34</v>
      </c>
      <c r="AB39" s="316">
        <f aca="true" t="shared" si="120" ref="AB39:AB56">IF(C39="",AB38,C39)</f>
        <v>13</v>
      </c>
      <c r="AC39" s="316" t="str">
        <f aca="true" t="shared" si="121" ref="AC39:AC56">IF(D39="",AC38,D39)</f>
        <v>Hoe stelt u onderhoudsscenario's op?</v>
      </c>
      <c r="AD39" s="316" t="str">
        <f t="shared" si="52"/>
        <v>13 Hoe stelt u onderhoudsscenario's op?</v>
      </c>
      <c r="AE39" s="316" t="str">
        <f aca="true" t="shared" si="122" ref="AE39:AE56">E39&amp;" "&amp;F39</f>
        <v>d Risicomanagement</v>
      </c>
      <c r="AF39" s="316" t="str">
        <f aca="true" t="shared" si="123" ref="AF39:AF56">AB39&amp;E39</f>
        <v>13d</v>
      </c>
      <c r="AG39" s="316">
        <f t="shared" si="53"/>
        <v>0</v>
      </c>
      <c r="AH39" s="316">
        <f t="shared" si="53"/>
        <v>0</v>
      </c>
      <c r="AI39" s="316">
        <f t="shared" si="53"/>
        <v>0</v>
      </c>
      <c r="AJ39" s="316">
        <f t="shared" si="53"/>
        <v>0</v>
      </c>
      <c r="AK39" s="316">
        <f t="shared" si="54"/>
        <v>0</v>
      </c>
      <c r="AL39" s="316" t="e">
        <f aca="true" t="shared" si="124" ref="AL39:AL56">VLOOKUP($AK39,score_percentage,2)</f>
        <v>#N/A</v>
      </c>
      <c r="AM39" s="316">
        <f t="shared" si="55"/>
        <v>0</v>
      </c>
      <c r="AN39" s="316">
        <f t="shared" si="56"/>
        <v>0</v>
      </c>
      <c r="AO39" s="312" t="str">
        <f t="shared" si="95"/>
        <v/>
      </c>
      <c r="AP39" s="312">
        <f t="shared" si="96"/>
        <v>0</v>
      </c>
      <c r="AQ39" s="312">
        <f t="shared" si="57"/>
        <v>0</v>
      </c>
      <c r="AR39" s="312" t="b">
        <f aca="true" t="shared" si="125" ref="AR39:AR56">VLOOKUP($AF39,vragen_must,vragen_uma_kolom_gekozen,FALSE)</f>
        <v>0</v>
      </c>
      <c r="AS39" s="312" t="b">
        <f aca="true" t="shared" si="126" ref="AS39:AS56">VLOOKUP($AF39,vragen_gewoon,vragen_uma_kolom_gekozen,FALSE)</f>
        <v>1</v>
      </c>
      <c r="AT39" s="312" t="b">
        <f aca="true" t="shared" si="127" ref="AT39:AT56">VLOOKUP($AF39,vragen_gewoon_1,vragen_uma_kolom_gekozen,FALSE)</f>
        <v>0</v>
      </c>
      <c r="AU39" s="312" t="b">
        <f aca="true" t="shared" si="128" ref="AU39:AU56">NOT(ISERROR(FIND(TEXT(AK39,"0"),TEXT(VLOOKUP($AF39,scores_mogelijk,vragen_uma_kolom_gekozen,FALSE),"0"))))</f>
        <v>0</v>
      </c>
      <c r="AV39" s="312" t="b">
        <f aca="true" t="shared" si="129" ref="AV39:AV56">VLOOKUP($AF39,vragen_show,vragen_uma_kolom_gekozen,FALSE)</f>
        <v>1</v>
      </c>
      <c r="AW39" s="312" t="b">
        <f t="shared" si="97"/>
        <v>0</v>
      </c>
      <c r="AX39" s="312">
        <f aca="true" t="shared" si="130" ref="AX39:AX56">AV39*R39</f>
        <v>0</v>
      </c>
      <c r="AY39" s="312">
        <f aca="true" t="shared" si="131" ref="AY39:AY56">AV39*S39</f>
        <v>5</v>
      </c>
      <c r="AZ39" s="312" t="b">
        <f t="shared" si="58"/>
        <v>0</v>
      </c>
      <c r="BA39" s="312" t="b">
        <f t="shared" si="59"/>
        <v>0</v>
      </c>
      <c r="BB39" s="312" t="b">
        <f t="shared" si="98"/>
        <v>0</v>
      </c>
      <c r="BC39" s="312" t="b">
        <f t="shared" si="99"/>
        <v>0</v>
      </c>
      <c r="BD39" s="312">
        <v>1</v>
      </c>
      <c r="BE39" s="312" t="b">
        <f t="shared" si="100"/>
        <v>0</v>
      </c>
      <c r="BF39" s="312" t="b">
        <f t="shared" si="101"/>
        <v>1</v>
      </c>
      <c r="BG39" s="312" t="b">
        <f t="shared" si="102"/>
        <v>0</v>
      </c>
      <c r="BH39" s="312" t="b">
        <f t="shared" si="103"/>
        <v>0</v>
      </c>
      <c r="BI39" s="312" t="b">
        <f t="shared" si="104"/>
        <v>1</v>
      </c>
      <c r="BJ39" s="312" t="b">
        <f t="shared" si="105"/>
        <v>0</v>
      </c>
      <c r="BK39" s="312" t="b">
        <f t="shared" si="106"/>
        <v>0</v>
      </c>
      <c r="BL39" s="312" t="b">
        <f t="shared" si="60"/>
        <v>0</v>
      </c>
      <c r="BM39" s="312" t="b">
        <f aca="true" t="shared" si="132" ref="BM39:BM56">$K39=type_o</f>
        <v>0</v>
      </c>
      <c r="BN39" s="312" t="b">
        <f aca="true" t="shared" si="133" ref="BN39:BN56">$K39=type_k</f>
        <v>1</v>
      </c>
      <c r="BO39" s="312" t="b">
        <f t="shared" si="107"/>
        <v>0</v>
      </c>
      <c r="BP39" s="312" t="str">
        <f aca="true" t="shared" si="134" ref="BP39:BP56">IF(BO39,"",vraag_voorwaarde_ingevuld)</f>
        <v>De vraag moet ingevuld worden.</v>
      </c>
      <c r="BQ39" s="312" t="str">
        <f t="shared" si="108"/>
        <v/>
      </c>
      <c r="BR39" s="312" t="str">
        <f t="shared" si="109"/>
        <v>Deze vraag moet minimaal antwoord 2, 3 of 4 hebben.</v>
      </c>
      <c r="BS39" s="312" t="str">
        <f t="shared" si="110"/>
        <v/>
      </c>
      <c r="BT39" s="312" t="str">
        <f t="shared" si="111"/>
        <v/>
      </c>
      <c r="BU39" s="312" t="str">
        <f t="shared" si="112"/>
        <v/>
      </c>
      <c r="BV39" s="312" t="str">
        <f t="shared" si="61"/>
        <v>De vraag moet ingevuld worden.</v>
      </c>
      <c r="BW39" s="312" t="str">
        <f t="shared" si="113"/>
        <v/>
      </c>
      <c r="BX39" s="312" t="str">
        <f t="shared" si="114"/>
        <v/>
      </c>
      <c r="BY39" s="312" t="str">
        <f t="shared" si="115"/>
        <v/>
      </c>
      <c r="BZ39" s="312" t="b">
        <f t="shared" si="62"/>
        <v>1</v>
      </c>
      <c r="CA39" s="312" t="b">
        <f t="shared" si="116"/>
        <v>0</v>
      </c>
      <c r="CB39" s="312" t="b">
        <f t="shared" si="63"/>
        <v>0</v>
      </c>
      <c r="CC39" s="312" t="str">
        <f t="shared" si="91"/>
        <v>E</v>
      </c>
      <c r="CD39" s="312" t="str">
        <f t="shared" si="91"/>
        <v>G</v>
      </c>
      <c r="CE39" s="312" t="str">
        <f t="shared" si="91"/>
        <v>G</v>
      </c>
      <c r="CF39" s="312" t="b">
        <f t="shared" si="117"/>
        <v>0</v>
      </c>
      <c r="CG39" s="312">
        <f t="shared" si="118"/>
        <v>0</v>
      </c>
      <c r="CH39" s="312">
        <f aca="true" t="shared" si="135" ref="CH39:CH56">IF(NOT(CF39),A38,CG39)</f>
        <v>0</v>
      </c>
      <c r="CJ39" s="312">
        <v>5</v>
      </c>
      <c r="CK39" s="312" t="str">
        <f>CK38</f>
        <v>Fase 3</v>
      </c>
      <c r="CL39" s="312">
        <f t="shared" si="119"/>
        <v>234</v>
      </c>
      <c r="CM39" s="312">
        <f t="shared" si="65"/>
        <v>4</v>
      </c>
      <c r="CN39" s="312">
        <f t="shared" si="66"/>
        <v>2</v>
      </c>
      <c r="CO39" s="312">
        <f t="shared" si="67"/>
        <v>4</v>
      </c>
    </row>
    <row r="40" spans="1:93" ht="15.75" thickBot="1">
      <c r="A40" s="449"/>
      <c r="B40" s="450"/>
      <c r="C40" s="405"/>
      <c r="D40" s="405"/>
      <c r="E40" s="472" t="s">
        <v>74</v>
      </c>
      <c r="F40" s="470" t="s">
        <v>297</v>
      </c>
      <c r="G40" s="471" t="s">
        <v>232</v>
      </c>
      <c r="H40" s="527" t="str">
        <f t="shared" si="42"/>
        <v>E</v>
      </c>
      <c r="I40" s="528" t="str">
        <f t="shared" si="43"/>
        <v>M</v>
      </c>
      <c r="J40" s="529" t="str">
        <f t="shared" si="44"/>
        <v>M</v>
      </c>
      <c r="K40" s="623" t="s">
        <v>216</v>
      </c>
      <c r="L40" s="620"/>
      <c r="M40" s="386"/>
      <c r="N40" s="386"/>
      <c r="O40" s="387"/>
      <c r="P40" s="388"/>
      <c r="Q40" s="389"/>
      <c r="R40" s="388">
        <f t="shared" si="45"/>
        <v>0</v>
      </c>
      <c r="S40" s="389">
        <f t="shared" si="46"/>
        <v>5</v>
      </c>
      <c r="T40" s="679"/>
      <c r="U40" s="680"/>
      <c r="V40" s="388">
        <f aca="true" t="shared" si="136" ref="V40:V56">IF(P40="x",1,0)</f>
        <v>0</v>
      </c>
      <c r="W40" s="389">
        <f>IF(Q40="x",1,0)</f>
        <v>0</v>
      </c>
      <c r="X40" s="367" t="str">
        <f t="shared" si="49"/>
        <v/>
      </c>
      <c r="Y40" s="366">
        <f t="shared" si="50"/>
        <v>0</v>
      </c>
      <c r="Z40" s="368" t="str">
        <f t="shared" si="51"/>
        <v>De vraag moet ingevuld worden.</v>
      </c>
      <c r="AA40" s="369">
        <f t="shared" si="68"/>
        <v>35</v>
      </c>
      <c r="AB40" s="316">
        <f t="shared" si="120"/>
        <v>13</v>
      </c>
      <c r="AC40" s="316" t="str">
        <f t="shared" si="121"/>
        <v>Hoe stelt u onderhoudsscenario's op?</v>
      </c>
      <c r="AD40" s="316" t="str">
        <f t="shared" si="52"/>
        <v>13 Hoe stelt u onderhoudsscenario's op?</v>
      </c>
      <c r="AE40" s="316" t="str">
        <f t="shared" si="122"/>
        <v>e Bouwkostenmanagement</v>
      </c>
      <c r="AF40" s="316" t="str">
        <f t="shared" si="123"/>
        <v>13e</v>
      </c>
      <c r="AG40" s="316">
        <f aca="true" t="shared" si="137" ref="AG40:AJ56">IF($AK40=AG$5,1,0)</f>
        <v>0</v>
      </c>
      <c r="AH40" s="316">
        <f t="shared" si="137"/>
        <v>0</v>
      </c>
      <c r="AI40" s="316">
        <f t="shared" si="137"/>
        <v>0</v>
      </c>
      <c r="AJ40" s="316">
        <f t="shared" si="137"/>
        <v>0</v>
      </c>
      <c r="AK40" s="316">
        <f t="shared" si="54"/>
        <v>0</v>
      </c>
      <c r="AL40" s="316" t="e">
        <f t="shared" si="124"/>
        <v>#N/A</v>
      </c>
      <c r="AM40" s="316">
        <f t="shared" si="55"/>
        <v>0</v>
      </c>
      <c r="AN40" s="316">
        <f t="shared" si="56"/>
        <v>0</v>
      </c>
      <c r="AO40" s="312" t="str">
        <f t="shared" si="95"/>
        <v/>
      </c>
      <c r="AP40" s="312">
        <f t="shared" si="96"/>
        <v>0</v>
      </c>
      <c r="AQ40" s="312">
        <f t="shared" si="57"/>
        <v>0</v>
      </c>
      <c r="AR40" s="312" t="b">
        <f t="shared" si="125"/>
        <v>1</v>
      </c>
      <c r="AS40" s="312" t="b">
        <f t="shared" si="126"/>
        <v>0</v>
      </c>
      <c r="AT40" s="312" t="b">
        <f t="shared" si="127"/>
        <v>0</v>
      </c>
      <c r="AU40" s="312" t="b">
        <f t="shared" si="128"/>
        <v>0</v>
      </c>
      <c r="AV40" s="312" t="b">
        <f t="shared" si="129"/>
        <v>1</v>
      </c>
      <c r="AW40" s="312" t="b">
        <f t="shared" si="97"/>
        <v>0</v>
      </c>
      <c r="AX40" s="312">
        <f t="shared" si="130"/>
        <v>0</v>
      </c>
      <c r="AY40" s="312">
        <f t="shared" si="131"/>
        <v>5</v>
      </c>
      <c r="AZ40" s="312" t="b">
        <f t="shared" si="58"/>
        <v>0</v>
      </c>
      <c r="BA40" s="312" t="b">
        <f t="shared" si="59"/>
        <v>0</v>
      </c>
      <c r="BB40" s="312" t="b">
        <f t="shared" si="98"/>
        <v>0</v>
      </c>
      <c r="BC40" s="312" t="b">
        <f t="shared" si="99"/>
        <v>0</v>
      </c>
      <c r="BD40" s="312">
        <v>1</v>
      </c>
      <c r="BE40" s="312" t="b">
        <f t="shared" si="100"/>
        <v>1</v>
      </c>
      <c r="BF40" s="312" t="b">
        <f t="shared" si="101"/>
        <v>0</v>
      </c>
      <c r="BG40" s="312" t="b">
        <f t="shared" si="102"/>
        <v>0</v>
      </c>
      <c r="BH40" s="312" t="b">
        <f t="shared" si="103"/>
        <v>1</v>
      </c>
      <c r="BI40" s="312" t="b">
        <f t="shared" si="104"/>
        <v>0</v>
      </c>
      <c r="BJ40" s="312" t="b">
        <f t="shared" si="105"/>
        <v>0</v>
      </c>
      <c r="BK40" s="312" t="b">
        <f t="shared" si="106"/>
        <v>0</v>
      </c>
      <c r="BL40" s="312" t="b">
        <f t="shared" si="60"/>
        <v>0</v>
      </c>
      <c r="BM40" s="312" t="b">
        <f t="shared" si="132"/>
        <v>0</v>
      </c>
      <c r="BN40" s="312" t="b">
        <f t="shared" si="133"/>
        <v>1</v>
      </c>
      <c r="BO40" s="312" t="b">
        <f t="shared" si="107"/>
        <v>0</v>
      </c>
      <c r="BP40" s="312" t="str">
        <f t="shared" si="134"/>
        <v>De vraag moet ingevuld worden.</v>
      </c>
      <c r="BQ40" s="312" t="str">
        <f t="shared" si="108"/>
        <v>Een MUST-vraag moet minimaal antwoord 3 of 4 hebben.</v>
      </c>
      <c r="BR40" s="312" t="str">
        <f t="shared" si="109"/>
        <v/>
      </c>
      <c r="BS40" s="312" t="str">
        <f t="shared" si="110"/>
        <v/>
      </c>
      <c r="BT40" s="312" t="str">
        <f t="shared" si="111"/>
        <v/>
      </c>
      <c r="BU40" s="312" t="str">
        <f t="shared" si="112"/>
        <v/>
      </c>
      <c r="BV40" s="312" t="str">
        <f t="shared" si="61"/>
        <v>De vraag moet ingevuld worden.</v>
      </c>
      <c r="BW40" s="312" t="str">
        <f t="shared" si="113"/>
        <v/>
      </c>
      <c r="BX40" s="312" t="str">
        <f t="shared" si="114"/>
        <v/>
      </c>
      <c r="BY40" s="312" t="str">
        <f t="shared" si="115"/>
        <v/>
      </c>
      <c r="BZ40" s="312" t="b">
        <f t="shared" si="62"/>
        <v>1</v>
      </c>
      <c r="CA40" s="312" t="b">
        <f t="shared" si="116"/>
        <v>0</v>
      </c>
      <c r="CB40" s="312" t="b">
        <f t="shared" si="63"/>
        <v>0</v>
      </c>
      <c r="CC40" s="312" t="str">
        <f t="shared" si="91"/>
        <v>E</v>
      </c>
      <c r="CD40" s="312" t="str">
        <f t="shared" si="91"/>
        <v>M</v>
      </c>
      <c r="CE40" s="312" t="str">
        <f t="shared" si="91"/>
        <v>M</v>
      </c>
      <c r="CF40" s="312" t="b">
        <f t="shared" si="117"/>
        <v>0</v>
      </c>
      <c r="CG40" s="312">
        <f t="shared" si="118"/>
        <v>0</v>
      </c>
      <c r="CH40" s="312">
        <f t="shared" si="135"/>
        <v>0</v>
      </c>
      <c r="CJ40" s="312">
        <v>5</v>
      </c>
      <c r="CK40" s="312" t="str">
        <f>CK39</f>
        <v>Fase 3</v>
      </c>
      <c r="CL40" s="312">
        <f t="shared" si="119"/>
        <v>34</v>
      </c>
      <c r="CM40" s="312">
        <f t="shared" si="65"/>
        <v>4</v>
      </c>
      <c r="CN40" s="312">
        <f t="shared" si="66"/>
        <v>3</v>
      </c>
      <c r="CO40" s="312">
        <f t="shared" si="67"/>
        <v>4</v>
      </c>
    </row>
    <row r="41" spans="1:93" ht="15">
      <c r="A41" s="400" t="s">
        <v>298</v>
      </c>
      <c r="B41" s="416" t="s">
        <v>299</v>
      </c>
      <c r="C41" s="376">
        <v>14</v>
      </c>
      <c r="D41" s="361" t="s">
        <v>300</v>
      </c>
      <c r="E41" s="481" t="s">
        <v>17</v>
      </c>
      <c r="F41" s="482" t="s">
        <v>301</v>
      </c>
      <c r="G41" s="483" t="s">
        <v>302</v>
      </c>
      <c r="H41" s="520" t="str">
        <f t="shared" si="42"/>
        <v>E</v>
      </c>
      <c r="I41" s="532" t="str">
        <f t="shared" si="43"/>
        <v>G</v>
      </c>
      <c r="J41" s="517" t="str">
        <f t="shared" si="44"/>
        <v>G</v>
      </c>
      <c r="K41" s="613" t="s">
        <v>215</v>
      </c>
      <c r="L41" s="614"/>
      <c r="M41" s="377"/>
      <c r="N41" s="377"/>
      <c r="O41" s="378"/>
      <c r="P41" s="379"/>
      <c r="Q41" s="380"/>
      <c r="R41" s="379">
        <f t="shared" si="45"/>
        <v>5</v>
      </c>
      <c r="S41" s="380">
        <f t="shared" si="46"/>
        <v>0</v>
      </c>
      <c r="T41" s="673">
        <f>SUMIF($AV41:$AV45,TRUE,R41:R45)</f>
        <v>25</v>
      </c>
      <c r="U41" s="683">
        <f>SUMIF($AV41:$AV45,TRUE,S41:S45)</f>
        <v>0</v>
      </c>
      <c r="V41" s="379">
        <f t="shared" si="136"/>
        <v>0</v>
      </c>
      <c r="W41" s="389">
        <f>IF(Q41="x",1,0)</f>
        <v>0</v>
      </c>
      <c r="X41" s="367">
        <f t="shared" si="49"/>
        <v>0</v>
      </c>
      <c r="Y41" s="366" t="str">
        <f t="shared" si="50"/>
        <v/>
      </c>
      <c r="Z41" s="368" t="str">
        <f t="shared" si="51"/>
        <v>De vraag moet ingevuld worden.</v>
      </c>
      <c r="AA41" s="369">
        <f t="shared" si="68"/>
        <v>36</v>
      </c>
      <c r="AB41" s="316">
        <f t="shared" si="120"/>
        <v>14</v>
      </c>
      <c r="AC41" s="316" t="str">
        <f t="shared" si="121"/>
        <v>Hoe bereidt u het project voor?</v>
      </c>
      <c r="AD41" s="316" t="str">
        <f t="shared" si="52"/>
        <v>14 Hoe bereidt u het project voor?</v>
      </c>
      <c r="AE41" s="316" t="str">
        <f t="shared" si="122"/>
        <v>a Detaillering en optimalisering</v>
      </c>
      <c r="AF41" s="316" t="str">
        <f t="shared" si="123"/>
        <v>14a</v>
      </c>
      <c r="AG41" s="316">
        <f t="shared" si="137"/>
        <v>0</v>
      </c>
      <c r="AH41" s="316">
        <f t="shared" si="137"/>
        <v>0</v>
      </c>
      <c r="AI41" s="316">
        <f t="shared" si="137"/>
        <v>0</v>
      </c>
      <c r="AJ41" s="316">
        <f t="shared" si="137"/>
        <v>0</v>
      </c>
      <c r="AK41" s="316">
        <f t="shared" si="54"/>
        <v>0</v>
      </c>
      <c r="AL41" s="316" t="e">
        <f t="shared" si="124"/>
        <v>#N/A</v>
      </c>
      <c r="AM41" s="316">
        <f t="shared" si="55"/>
        <v>0</v>
      </c>
      <c r="AN41" s="316">
        <f t="shared" si="56"/>
        <v>5</v>
      </c>
      <c r="AO41" s="312">
        <f t="shared" si="95"/>
        <v>0</v>
      </c>
      <c r="AP41" s="312" t="str">
        <f t="shared" si="96"/>
        <v/>
      </c>
      <c r="AQ41" s="312">
        <f t="shared" si="57"/>
        <v>0</v>
      </c>
      <c r="AR41" s="312" t="b">
        <f t="shared" si="125"/>
        <v>0</v>
      </c>
      <c r="AS41" s="312" t="b">
        <f t="shared" si="126"/>
        <v>1</v>
      </c>
      <c r="AT41" s="312" t="b">
        <f t="shared" si="127"/>
        <v>0</v>
      </c>
      <c r="AU41" s="312" t="b">
        <f t="shared" si="128"/>
        <v>0</v>
      </c>
      <c r="AV41" s="312" t="b">
        <f t="shared" si="129"/>
        <v>1</v>
      </c>
      <c r="AW41" s="312" t="b">
        <f t="shared" si="97"/>
        <v>0</v>
      </c>
      <c r="AX41" s="312">
        <f t="shared" si="130"/>
        <v>5</v>
      </c>
      <c r="AY41" s="312">
        <f t="shared" si="131"/>
        <v>0</v>
      </c>
      <c r="AZ41" s="312" t="b">
        <f t="shared" si="58"/>
        <v>0</v>
      </c>
      <c r="BA41" s="312" t="b">
        <f t="shared" si="59"/>
        <v>0</v>
      </c>
      <c r="BB41" s="312" t="b">
        <f t="shared" si="98"/>
        <v>0</v>
      </c>
      <c r="BC41" s="312" t="b">
        <f t="shared" si="99"/>
        <v>0</v>
      </c>
      <c r="BD41" s="312">
        <v>1</v>
      </c>
      <c r="BE41" s="312" t="b">
        <f t="shared" si="100"/>
        <v>0</v>
      </c>
      <c r="BF41" s="312" t="b">
        <f t="shared" si="101"/>
        <v>1</v>
      </c>
      <c r="BG41" s="312" t="b">
        <f t="shared" si="102"/>
        <v>0</v>
      </c>
      <c r="BH41" s="312" t="b">
        <f t="shared" si="103"/>
        <v>0</v>
      </c>
      <c r="BI41" s="312" t="b">
        <f t="shared" si="104"/>
        <v>1</v>
      </c>
      <c r="BJ41" s="312" t="b">
        <f t="shared" si="105"/>
        <v>0</v>
      </c>
      <c r="BK41" s="312" t="b">
        <f t="shared" si="106"/>
        <v>0</v>
      </c>
      <c r="BL41" s="312" t="b">
        <f t="shared" si="60"/>
        <v>0</v>
      </c>
      <c r="BM41" s="312" t="b">
        <f t="shared" si="132"/>
        <v>1</v>
      </c>
      <c r="BN41" s="312" t="b">
        <f t="shared" si="133"/>
        <v>0</v>
      </c>
      <c r="BO41" s="312" t="b">
        <f t="shared" si="107"/>
        <v>0</v>
      </c>
      <c r="BP41" s="312" t="str">
        <f t="shared" si="134"/>
        <v>De vraag moet ingevuld worden.</v>
      </c>
      <c r="BQ41" s="312" t="str">
        <f t="shared" si="108"/>
        <v/>
      </c>
      <c r="BR41" s="312" t="str">
        <f t="shared" si="109"/>
        <v>Deze vraag moet minimaal antwoord 2, 3 of 4 hebben.</v>
      </c>
      <c r="BS41" s="312" t="str">
        <f t="shared" si="110"/>
        <v/>
      </c>
      <c r="BT41" s="312" t="str">
        <f t="shared" si="111"/>
        <v/>
      </c>
      <c r="BU41" s="312" t="str">
        <f t="shared" si="112"/>
        <v/>
      </c>
      <c r="BV41" s="312" t="str">
        <f t="shared" si="61"/>
        <v>De vraag moet ingevuld worden.</v>
      </c>
      <c r="BW41" s="312" t="str">
        <f t="shared" si="113"/>
        <v/>
      </c>
      <c r="BX41" s="312" t="str">
        <f t="shared" si="114"/>
        <v/>
      </c>
      <c r="BY41" s="312" t="str">
        <f t="shared" si="115"/>
        <v/>
      </c>
      <c r="BZ41" s="312" t="b">
        <f t="shared" si="62"/>
        <v>1</v>
      </c>
      <c r="CA41" s="312" t="b">
        <f t="shared" si="116"/>
        <v>0</v>
      </c>
      <c r="CB41" s="312" t="b">
        <f t="shared" si="63"/>
        <v>0</v>
      </c>
      <c r="CC41" s="312" t="str">
        <f t="shared" si="91"/>
        <v>E</v>
      </c>
      <c r="CD41" s="312" t="str">
        <f t="shared" si="91"/>
        <v>G</v>
      </c>
      <c r="CE41" s="312" t="str">
        <f t="shared" si="91"/>
        <v>G</v>
      </c>
      <c r="CF41" s="312" t="b">
        <f t="shared" si="117"/>
        <v>1</v>
      </c>
      <c r="CG41" s="312" t="str">
        <f t="shared" si="118"/>
        <v>Fase 4</v>
      </c>
      <c r="CH41" s="312" t="str">
        <f t="shared" si="135"/>
        <v>Fase 4</v>
      </c>
      <c r="CI41" s="312">
        <v>5</v>
      </c>
      <c r="CK41" s="312" t="str">
        <f>A41</f>
        <v>Fase 4</v>
      </c>
      <c r="CL41" s="312">
        <f t="shared" si="119"/>
        <v>234</v>
      </c>
      <c r="CM41" s="312">
        <f t="shared" si="65"/>
        <v>4</v>
      </c>
      <c r="CN41" s="312">
        <f t="shared" si="66"/>
        <v>2</v>
      </c>
      <c r="CO41" s="312">
        <f t="shared" si="67"/>
        <v>4</v>
      </c>
    </row>
    <row r="42" spans="1:93" ht="15">
      <c r="A42" s="417"/>
      <c r="B42" s="418" t="s">
        <v>303</v>
      </c>
      <c r="C42" s="385"/>
      <c r="D42" s="405"/>
      <c r="E42" s="484" t="s">
        <v>18</v>
      </c>
      <c r="F42" s="461" t="s">
        <v>304</v>
      </c>
      <c r="G42" s="485" t="s">
        <v>302</v>
      </c>
      <c r="H42" s="516" t="str">
        <f t="shared" si="42"/>
        <v>E</v>
      </c>
      <c r="I42" s="608" t="str">
        <f t="shared" si="43"/>
        <v>(O)</v>
      </c>
      <c r="J42" s="519" t="str">
        <f t="shared" si="44"/>
        <v>E</v>
      </c>
      <c r="K42" s="615" t="s">
        <v>215</v>
      </c>
      <c r="L42" s="616"/>
      <c r="M42" s="363"/>
      <c r="N42" s="363"/>
      <c r="O42" s="364"/>
      <c r="P42" s="365"/>
      <c r="Q42" s="366"/>
      <c r="R42" s="365">
        <f t="shared" si="45"/>
        <v>5</v>
      </c>
      <c r="S42" s="366">
        <f t="shared" si="46"/>
        <v>0</v>
      </c>
      <c r="T42" s="674"/>
      <c r="U42" s="691"/>
      <c r="V42" s="365"/>
      <c r="W42" s="366"/>
      <c r="X42" s="367">
        <f t="shared" si="49"/>
        <v>0</v>
      </c>
      <c r="Y42" s="366" t="str">
        <f t="shared" si="50"/>
        <v/>
      </c>
      <c r="Z42" s="368" t="str">
        <f t="shared" si="51"/>
        <v>De vraag moet ingevuld worden.</v>
      </c>
      <c r="AA42" s="369">
        <f t="shared" si="68"/>
        <v>37</v>
      </c>
      <c r="AB42" s="316">
        <f t="shared" si="120"/>
        <v>14</v>
      </c>
      <c r="AC42" s="316" t="str">
        <f t="shared" si="121"/>
        <v>Hoe bereidt u het project voor?</v>
      </c>
      <c r="AD42" s="316" t="str">
        <f t="shared" si="52"/>
        <v>14 Hoe bereidt u het project voor?</v>
      </c>
      <c r="AE42" s="316" t="str">
        <f t="shared" si="122"/>
        <v>b Subsidies, vergunningen, ontheffingen en beschikkingen</v>
      </c>
      <c r="AF42" s="316" t="str">
        <f t="shared" si="123"/>
        <v>14b</v>
      </c>
      <c r="AG42" s="316">
        <f t="shared" si="137"/>
        <v>0</v>
      </c>
      <c r="AH42" s="316">
        <f t="shared" si="137"/>
        <v>0</v>
      </c>
      <c r="AI42" s="316">
        <f t="shared" si="137"/>
        <v>0</v>
      </c>
      <c r="AJ42" s="316">
        <f t="shared" si="137"/>
        <v>0</v>
      </c>
      <c r="AK42" s="316">
        <f t="shared" si="54"/>
        <v>0</v>
      </c>
      <c r="AL42" s="316" t="e">
        <f t="shared" si="124"/>
        <v>#N/A</v>
      </c>
      <c r="AM42" s="316">
        <f t="shared" si="55"/>
        <v>0</v>
      </c>
      <c r="AN42" s="316">
        <f t="shared" si="56"/>
        <v>5</v>
      </c>
      <c r="AO42" s="312">
        <f t="shared" si="95"/>
        <v>0</v>
      </c>
      <c r="AP42" s="312" t="str">
        <f t="shared" si="96"/>
        <v/>
      </c>
      <c r="AQ42" s="312">
        <f t="shared" si="57"/>
        <v>0</v>
      </c>
      <c r="AR42" s="312" t="b">
        <f t="shared" si="125"/>
        <v>0</v>
      </c>
      <c r="AS42" s="312" t="b">
        <f t="shared" si="126"/>
        <v>0</v>
      </c>
      <c r="AT42" s="312" t="b">
        <f t="shared" si="127"/>
        <v>0</v>
      </c>
      <c r="AU42" s="312" t="b">
        <f t="shared" si="128"/>
        <v>0</v>
      </c>
      <c r="AV42" s="312" t="b">
        <f t="shared" si="129"/>
        <v>1</v>
      </c>
      <c r="AW42" s="312" t="b">
        <f t="shared" si="97"/>
        <v>0</v>
      </c>
      <c r="AX42" s="312">
        <f t="shared" si="130"/>
        <v>5</v>
      </c>
      <c r="AY42" s="312">
        <f t="shared" si="131"/>
        <v>0</v>
      </c>
      <c r="AZ42" s="312" t="b">
        <f t="shared" si="58"/>
        <v>0</v>
      </c>
      <c r="BA42" s="312" t="b">
        <f t="shared" si="59"/>
        <v>0</v>
      </c>
      <c r="BB42" s="312" t="b">
        <f t="shared" si="98"/>
        <v>0</v>
      </c>
      <c r="BC42" s="312" t="b">
        <f t="shared" si="99"/>
        <v>0</v>
      </c>
      <c r="BD42" s="312">
        <v>1</v>
      </c>
      <c r="BE42" s="312" t="b">
        <f t="shared" si="100"/>
        <v>0</v>
      </c>
      <c r="BF42" s="312" t="b">
        <f t="shared" si="101"/>
        <v>0</v>
      </c>
      <c r="BG42" s="312" t="b">
        <f t="shared" si="102"/>
        <v>0</v>
      </c>
      <c r="BH42" s="312" t="b">
        <f t="shared" si="103"/>
        <v>0</v>
      </c>
      <c r="BI42" s="312" t="b">
        <f t="shared" si="104"/>
        <v>0</v>
      </c>
      <c r="BJ42" s="312" t="b">
        <f t="shared" si="105"/>
        <v>0</v>
      </c>
      <c r="BK42" s="312" t="b">
        <f t="shared" si="106"/>
        <v>0</v>
      </c>
      <c r="BL42" s="312" t="b">
        <f t="shared" si="60"/>
        <v>0</v>
      </c>
      <c r="BM42" s="312" t="b">
        <f t="shared" si="132"/>
        <v>1</v>
      </c>
      <c r="BN42" s="312" t="b">
        <f t="shared" si="133"/>
        <v>0</v>
      </c>
      <c r="BO42" s="312" t="b">
        <f t="shared" si="107"/>
        <v>0</v>
      </c>
      <c r="BP42" s="312" t="str">
        <f t="shared" si="134"/>
        <v>De vraag moet ingevuld worden.</v>
      </c>
      <c r="BQ42" s="312" t="str">
        <f t="shared" si="108"/>
        <v/>
      </c>
      <c r="BR42" s="312" t="str">
        <f t="shared" si="109"/>
        <v/>
      </c>
      <c r="BS42" s="312" t="str">
        <f t="shared" si="110"/>
        <v/>
      </c>
      <c r="BT42" s="312" t="str">
        <f t="shared" si="111"/>
        <v/>
      </c>
      <c r="BU42" s="312">
        <f t="shared" si="112"/>
        <v>0</v>
      </c>
      <c r="BV42" s="312" t="str">
        <f t="shared" si="61"/>
        <v>De vraag moet ingevuld worden.</v>
      </c>
      <c r="BW42" s="312" t="str">
        <f t="shared" si="113"/>
        <v/>
      </c>
      <c r="BX42" s="312" t="str">
        <f t="shared" si="114"/>
        <v>E</v>
      </c>
      <c r="BY42" s="312">
        <f t="shared" si="115"/>
        <v>1234</v>
      </c>
      <c r="BZ42" s="312" t="b">
        <f t="shared" si="62"/>
        <v>0</v>
      </c>
      <c r="CA42" s="312" t="b">
        <f t="shared" si="116"/>
        <v>1</v>
      </c>
      <c r="CB42" s="312" t="b">
        <f t="shared" si="63"/>
        <v>0</v>
      </c>
      <c r="CC42" s="312" t="str">
        <f t="shared" si="91"/>
        <v>E</v>
      </c>
      <c r="CD42" s="312" t="str">
        <f t="shared" si="91"/>
        <v>(O)</v>
      </c>
      <c r="CE42" s="312" t="str">
        <f t="shared" si="91"/>
        <v>E</v>
      </c>
      <c r="CF42" s="312" t="b">
        <f t="shared" si="117"/>
        <v>0</v>
      </c>
      <c r="CG42" s="312" t="str">
        <f t="shared" si="118"/>
        <v/>
      </c>
      <c r="CH42" s="312" t="str">
        <f t="shared" si="135"/>
        <v>Fase 4</v>
      </c>
      <c r="CI42" s="312">
        <v>5</v>
      </c>
      <c r="CK42" s="312" t="str">
        <f>CK41</f>
        <v>Fase 4</v>
      </c>
      <c r="CL42" s="312">
        <f t="shared" si="119"/>
        <v>1234</v>
      </c>
      <c r="CM42" s="312">
        <f t="shared" si="65"/>
        <v>4</v>
      </c>
      <c r="CN42" s="312">
        <f t="shared" si="66"/>
        <v>1</v>
      </c>
      <c r="CO42" s="312">
        <f t="shared" si="67"/>
        <v>4</v>
      </c>
    </row>
    <row r="43" spans="1:93" ht="15">
      <c r="A43" s="403"/>
      <c r="B43" s="600" t="str">
        <f>B42</f>
        <v>uitvoeringsvoorbereiding</v>
      </c>
      <c r="C43" s="385"/>
      <c r="D43" s="405"/>
      <c r="E43" s="486" t="s">
        <v>19</v>
      </c>
      <c r="F43" s="487" t="s">
        <v>305</v>
      </c>
      <c r="G43" s="485" t="s">
        <v>302</v>
      </c>
      <c r="H43" s="518" t="str">
        <f t="shared" si="42"/>
        <v>E</v>
      </c>
      <c r="I43" s="532" t="str">
        <f t="shared" si="43"/>
        <v>G</v>
      </c>
      <c r="J43" s="523" t="str">
        <f t="shared" si="44"/>
        <v>G</v>
      </c>
      <c r="K43" s="534" t="s">
        <v>215</v>
      </c>
      <c r="L43" s="619"/>
      <c r="M43" s="382"/>
      <c r="N43" s="382"/>
      <c r="O43" s="383"/>
      <c r="P43" s="375"/>
      <c r="Q43" s="384"/>
      <c r="R43" s="375">
        <f t="shared" si="45"/>
        <v>5</v>
      </c>
      <c r="S43" s="384">
        <f t="shared" si="46"/>
        <v>0</v>
      </c>
      <c r="T43" s="674"/>
      <c r="U43" s="691"/>
      <c r="V43" s="375">
        <f t="shared" si="136"/>
        <v>0</v>
      </c>
      <c r="W43" s="384">
        <f>IF(Q43="x",1,0)</f>
        <v>0</v>
      </c>
      <c r="X43" s="367">
        <f t="shared" si="49"/>
        <v>0</v>
      </c>
      <c r="Y43" s="366" t="str">
        <f t="shared" si="50"/>
        <v/>
      </c>
      <c r="Z43" s="368" t="str">
        <f t="shared" si="51"/>
        <v>De vraag moet ingevuld worden.</v>
      </c>
      <c r="AA43" s="369">
        <f t="shared" si="68"/>
        <v>38</v>
      </c>
      <c r="AB43" s="316">
        <f t="shared" si="120"/>
        <v>14</v>
      </c>
      <c r="AC43" s="316" t="str">
        <f t="shared" si="121"/>
        <v>Hoe bereidt u het project voor?</v>
      </c>
      <c r="AD43" s="316" t="str">
        <f t="shared" si="52"/>
        <v>14 Hoe bereidt u het project voor?</v>
      </c>
      <c r="AE43" s="316" t="str">
        <f t="shared" si="122"/>
        <v>c Globale werkomschrijving</v>
      </c>
      <c r="AF43" s="316" t="str">
        <f t="shared" si="123"/>
        <v>14c</v>
      </c>
      <c r="AG43" s="316">
        <f t="shared" si="137"/>
        <v>0</v>
      </c>
      <c r="AH43" s="316">
        <f t="shared" si="137"/>
        <v>0</v>
      </c>
      <c r="AI43" s="316">
        <f t="shared" si="137"/>
        <v>0</v>
      </c>
      <c r="AJ43" s="316">
        <f t="shared" si="137"/>
        <v>0</v>
      </c>
      <c r="AK43" s="316">
        <f t="shared" si="54"/>
        <v>0</v>
      </c>
      <c r="AL43" s="316" t="e">
        <f t="shared" si="124"/>
        <v>#N/A</v>
      </c>
      <c r="AM43" s="316">
        <f t="shared" si="55"/>
        <v>0</v>
      </c>
      <c r="AN43" s="316">
        <f t="shared" si="56"/>
        <v>5</v>
      </c>
      <c r="AO43" s="312">
        <f t="shared" si="95"/>
        <v>0</v>
      </c>
      <c r="AP43" s="312" t="str">
        <f t="shared" si="96"/>
        <v/>
      </c>
      <c r="AQ43" s="312">
        <f t="shared" si="57"/>
        <v>0</v>
      </c>
      <c r="AR43" s="312" t="b">
        <f t="shared" si="125"/>
        <v>0</v>
      </c>
      <c r="AS43" s="312" t="b">
        <f t="shared" si="126"/>
        <v>1</v>
      </c>
      <c r="AT43" s="312" t="b">
        <f t="shared" si="127"/>
        <v>0</v>
      </c>
      <c r="AU43" s="312" t="b">
        <f t="shared" si="128"/>
        <v>0</v>
      </c>
      <c r="AV43" s="312" t="b">
        <f t="shared" si="129"/>
        <v>1</v>
      </c>
      <c r="AW43" s="312" t="b">
        <f t="shared" si="97"/>
        <v>0</v>
      </c>
      <c r="AX43" s="312">
        <f t="shared" si="130"/>
        <v>5</v>
      </c>
      <c r="AY43" s="312">
        <f t="shared" si="131"/>
        <v>0</v>
      </c>
      <c r="AZ43" s="312" t="b">
        <f t="shared" si="58"/>
        <v>0</v>
      </c>
      <c r="BA43" s="312" t="b">
        <f t="shared" si="59"/>
        <v>0</v>
      </c>
      <c r="BB43" s="312" t="b">
        <f t="shared" si="98"/>
        <v>0</v>
      </c>
      <c r="BC43" s="312" t="b">
        <f t="shared" si="99"/>
        <v>0</v>
      </c>
      <c r="BD43" s="312">
        <v>1</v>
      </c>
      <c r="BE43" s="312" t="b">
        <f t="shared" si="100"/>
        <v>0</v>
      </c>
      <c r="BF43" s="312" t="b">
        <f t="shared" si="101"/>
        <v>1</v>
      </c>
      <c r="BG43" s="312" t="b">
        <f t="shared" si="102"/>
        <v>0</v>
      </c>
      <c r="BH43" s="312" t="b">
        <f t="shared" si="103"/>
        <v>0</v>
      </c>
      <c r="BI43" s="312" t="b">
        <f t="shared" si="104"/>
        <v>1</v>
      </c>
      <c r="BJ43" s="312" t="b">
        <f t="shared" si="105"/>
        <v>0</v>
      </c>
      <c r="BK43" s="312" t="b">
        <f t="shared" si="106"/>
        <v>0</v>
      </c>
      <c r="BL43" s="312" t="b">
        <f t="shared" si="60"/>
        <v>0</v>
      </c>
      <c r="BM43" s="312" t="b">
        <f t="shared" si="132"/>
        <v>1</v>
      </c>
      <c r="BN43" s="312" t="b">
        <f t="shared" si="133"/>
        <v>0</v>
      </c>
      <c r="BO43" s="312" t="b">
        <f t="shared" si="107"/>
        <v>0</v>
      </c>
      <c r="BP43" s="312" t="str">
        <f t="shared" si="134"/>
        <v>De vraag moet ingevuld worden.</v>
      </c>
      <c r="BQ43" s="312" t="str">
        <f t="shared" si="108"/>
        <v/>
      </c>
      <c r="BR43" s="312" t="str">
        <f t="shared" si="109"/>
        <v>Deze vraag moet minimaal antwoord 2, 3 of 4 hebben.</v>
      </c>
      <c r="BS43" s="312" t="str">
        <f t="shared" si="110"/>
        <v/>
      </c>
      <c r="BT43" s="312" t="str">
        <f t="shared" si="111"/>
        <v/>
      </c>
      <c r="BU43" s="312" t="str">
        <f t="shared" si="112"/>
        <v/>
      </c>
      <c r="BV43" s="312" t="str">
        <f t="shared" si="61"/>
        <v>De vraag moet ingevuld worden.</v>
      </c>
      <c r="BW43" s="312" t="str">
        <f t="shared" si="113"/>
        <v/>
      </c>
      <c r="BX43" s="312" t="str">
        <f t="shared" si="114"/>
        <v/>
      </c>
      <c r="BY43" s="312" t="str">
        <f t="shared" si="115"/>
        <v/>
      </c>
      <c r="BZ43" s="312" t="b">
        <f t="shared" si="62"/>
        <v>1</v>
      </c>
      <c r="CA43" s="312" t="b">
        <f t="shared" si="116"/>
        <v>0</v>
      </c>
      <c r="CB43" s="312" t="b">
        <f t="shared" si="63"/>
        <v>0</v>
      </c>
      <c r="CC43" s="312" t="str">
        <f t="shared" si="91"/>
        <v>E</v>
      </c>
      <c r="CD43" s="312" t="str">
        <f t="shared" si="91"/>
        <v>G</v>
      </c>
      <c r="CE43" s="312" t="str">
        <f t="shared" si="91"/>
        <v>G</v>
      </c>
      <c r="CF43" s="312" t="b">
        <f t="shared" si="117"/>
        <v>0</v>
      </c>
      <c r="CG43" s="312">
        <f t="shared" si="118"/>
        <v>0</v>
      </c>
      <c r="CH43" s="312">
        <f t="shared" si="135"/>
        <v>0</v>
      </c>
      <c r="CI43" s="312">
        <v>5</v>
      </c>
      <c r="CK43" s="312" t="str">
        <f aca="true" t="shared" si="138" ref="CK43:CK48">CK42</f>
        <v>Fase 4</v>
      </c>
      <c r="CL43" s="312">
        <f t="shared" si="119"/>
        <v>234</v>
      </c>
      <c r="CM43" s="312">
        <f t="shared" si="65"/>
        <v>4</v>
      </c>
      <c r="CN43" s="312">
        <f t="shared" si="66"/>
        <v>2</v>
      </c>
      <c r="CO43" s="312">
        <f t="shared" si="67"/>
        <v>4</v>
      </c>
    </row>
    <row r="44" spans="1:93" ht="15">
      <c r="A44" s="403"/>
      <c r="B44" s="404"/>
      <c r="C44" s="385"/>
      <c r="D44" s="405"/>
      <c r="E44" s="486" t="s">
        <v>20</v>
      </c>
      <c r="F44" s="488" t="s">
        <v>306</v>
      </c>
      <c r="G44" s="489" t="s">
        <v>232</v>
      </c>
      <c r="H44" s="518" t="str">
        <f t="shared" si="42"/>
        <v>E</v>
      </c>
      <c r="I44" s="532" t="str">
        <f t="shared" si="43"/>
        <v>E</v>
      </c>
      <c r="J44" s="523" t="str">
        <f t="shared" si="44"/>
        <v>E</v>
      </c>
      <c r="K44" s="534" t="s">
        <v>215</v>
      </c>
      <c r="L44" s="619"/>
      <c r="M44" s="382"/>
      <c r="N44" s="382"/>
      <c r="O44" s="383"/>
      <c r="P44" s="375"/>
      <c r="Q44" s="384"/>
      <c r="R44" s="375">
        <f t="shared" si="45"/>
        <v>5</v>
      </c>
      <c r="S44" s="384">
        <f t="shared" si="46"/>
        <v>0</v>
      </c>
      <c r="T44" s="674"/>
      <c r="U44" s="691"/>
      <c r="V44" s="375"/>
      <c r="W44" s="384"/>
      <c r="X44" s="367">
        <f t="shared" si="49"/>
        <v>0</v>
      </c>
      <c r="Y44" s="366" t="str">
        <f t="shared" si="50"/>
        <v/>
      </c>
      <c r="Z44" s="368" t="str">
        <f t="shared" si="51"/>
        <v>De vraag moet ingevuld worden.</v>
      </c>
      <c r="AA44" s="369">
        <f t="shared" si="68"/>
        <v>39</v>
      </c>
      <c r="AB44" s="316">
        <f t="shared" si="120"/>
        <v>14</v>
      </c>
      <c r="AC44" s="316" t="str">
        <f t="shared" si="121"/>
        <v>Hoe bereidt u het project voor?</v>
      </c>
      <c r="AD44" s="316" t="str">
        <f t="shared" si="52"/>
        <v>14 Hoe bereidt u het project voor?</v>
      </c>
      <c r="AE44" s="316" t="str">
        <f t="shared" si="122"/>
        <v>d Modelobject-woning</v>
      </c>
      <c r="AF44" s="316" t="str">
        <f t="shared" si="123"/>
        <v>14d</v>
      </c>
      <c r="AG44" s="316">
        <f t="shared" si="137"/>
        <v>0</v>
      </c>
      <c r="AH44" s="316">
        <f t="shared" si="137"/>
        <v>0</v>
      </c>
      <c r="AI44" s="316">
        <f t="shared" si="137"/>
        <v>0</v>
      </c>
      <c r="AJ44" s="316">
        <f t="shared" si="137"/>
        <v>0</v>
      </c>
      <c r="AK44" s="316">
        <f t="shared" si="54"/>
        <v>0</v>
      </c>
      <c r="AL44" s="316" t="e">
        <f t="shared" si="124"/>
        <v>#N/A</v>
      </c>
      <c r="AM44" s="316">
        <f t="shared" si="55"/>
        <v>0</v>
      </c>
      <c r="AN44" s="316">
        <f t="shared" si="56"/>
        <v>5</v>
      </c>
      <c r="AO44" s="312">
        <f t="shared" si="95"/>
        <v>0</v>
      </c>
      <c r="AP44" s="312" t="str">
        <f t="shared" si="96"/>
        <v/>
      </c>
      <c r="AQ44" s="312">
        <f t="shared" si="57"/>
        <v>0</v>
      </c>
      <c r="AR44" s="312" t="b">
        <f t="shared" si="125"/>
        <v>0</v>
      </c>
      <c r="AS44" s="312" t="b">
        <f t="shared" si="126"/>
        <v>0</v>
      </c>
      <c r="AT44" s="312" t="b">
        <f t="shared" si="127"/>
        <v>1</v>
      </c>
      <c r="AU44" s="312" t="b">
        <f t="shared" si="128"/>
        <v>0</v>
      </c>
      <c r="AV44" s="312" t="b">
        <f t="shared" si="129"/>
        <v>1</v>
      </c>
      <c r="AW44" s="312" t="b">
        <f t="shared" si="97"/>
        <v>0</v>
      </c>
      <c r="AX44" s="312">
        <f t="shared" si="130"/>
        <v>5</v>
      </c>
      <c r="AY44" s="312">
        <f t="shared" si="131"/>
        <v>0</v>
      </c>
      <c r="AZ44" s="312" t="b">
        <f t="shared" si="58"/>
        <v>0</v>
      </c>
      <c r="BA44" s="312" t="b">
        <f t="shared" si="59"/>
        <v>0</v>
      </c>
      <c r="BB44" s="312" t="b">
        <f t="shared" si="98"/>
        <v>0</v>
      </c>
      <c r="BC44" s="312" t="b">
        <f t="shared" si="99"/>
        <v>0</v>
      </c>
      <c r="BD44" s="312">
        <v>1</v>
      </c>
      <c r="BE44" s="312" t="b">
        <f t="shared" si="100"/>
        <v>0</v>
      </c>
      <c r="BF44" s="312" t="b">
        <f t="shared" si="101"/>
        <v>0</v>
      </c>
      <c r="BG44" s="312" t="b">
        <f t="shared" si="102"/>
        <v>1</v>
      </c>
      <c r="BH44" s="312" t="b">
        <f t="shared" si="103"/>
        <v>0</v>
      </c>
      <c r="BI44" s="312" t="b">
        <f t="shared" si="104"/>
        <v>0</v>
      </c>
      <c r="BJ44" s="312" t="b">
        <f t="shared" si="105"/>
        <v>1</v>
      </c>
      <c r="BK44" s="312" t="b">
        <f t="shared" si="106"/>
        <v>0</v>
      </c>
      <c r="BL44" s="312" t="b">
        <f t="shared" si="60"/>
        <v>0</v>
      </c>
      <c r="BM44" s="312" t="b">
        <f t="shared" si="132"/>
        <v>1</v>
      </c>
      <c r="BN44" s="312" t="b">
        <f t="shared" si="133"/>
        <v>0</v>
      </c>
      <c r="BO44" s="312" t="b">
        <f t="shared" si="107"/>
        <v>0</v>
      </c>
      <c r="BP44" s="312" t="str">
        <f t="shared" si="134"/>
        <v>De vraag moet ingevuld worden.</v>
      </c>
      <c r="BQ44" s="312" t="str">
        <f t="shared" si="108"/>
        <v/>
      </c>
      <c r="BR44" s="312" t="str">
        <f t="shared" si="109"/>
        <v/>
      </c>
      <c r="BS44" s="312" t="str">
        <f t="shared" si="110"/>
        <v/>
      </c>
      <c r="BT44" s="312" t="str">
        <f t="shared" si="111"/>
        <v/>
      </c>
      <c r="BU44" s="312" t="str">
        <f t="shared" si="112"/>
        <v/>
      </c>
      <c r="BV44" s="312" t="str">
        <f t="shared" si="61"/>
        <v>De vraag moet ingevuld worden.</v>
      </c>
      <c r="BW44" s="312" t="str">
        <f t="shared" si="113"/>
        <v/>
      </c>
      <c r="BX44" s="312" t="str">
        <f t="shared" si="114"/>
        <v/>
      </c>
      <c r="BY44" s="312" t="str">
        <f t="shared" si="115"/>
        <v/>
      </c>
      <c r="BZ44" s="312" t="b">
        <f t="shared" si="62"/>
        <v>1</v>
      </c>
      <c r="CA44" s="312" t="b">
        <f t="shared" si="116"/>
        <v>0</v>
      </c>
      <c r="CB44" s="312" t="b">
        <f t="shared" si="63"/>
        <v>0</v>
      </c>
      <c r="CC44" s="312" t="str">
        <f t="shared" si="91"/>
        <v>E</v>
      </c>
      <c r="CD44" s="312" t="str">
        <f t="shared" si="91"/>
        <v>E</v>
      </c>
      <c r="CE44" s="312" t="str">
        <f t="shared" si="91"/>
        <v>E</v>
      </c>
      <c r="CF44" s="312" t="b">
        <f t="shared" si="117"/>
        <v>0</v>
      </c>
      <c r="CG44" s="312">
        <f t="shared" si="118"/>
        <v>0</v>
      </c>
      <c r="CH44" s="312">
        <f t="shared" si="135"/>
        <v>0</v>
      </c>
      <c r="CI44" s="312">
        <v>5</v>
      </c>
      <c r="CK44" s="312" t="str">
        <f t="shared" si="138"/>
        <v>Fase 4</v>
      </c>
      <c r="CL44" s="312">
        <f t="shared" si="119"/>
        <v>1234</v>
      </c>
      <c r="CM44" s="312">
        <f t="shared" si="65"/>
        <v>4</v>
      </c>
      <c r="CN44" s="312">
        <f t="shared" si="66"/>
        <v>1</v>
      </c>
      <c r="CO44" s="312">
        <f t="shared" si="67"/>
        <v>4</v>
      </c>
    </row>
    <row r="45" spans="1:93" ht="15.75" thickBot="1">
      <c r="A45" s="403"/>
      <c r="B45" s="404"/>
      <c r="C45" s="385"/>
      <c r="D45" s="405"/>
      <c r="E45" s="490" t="s">
        <v>74</v>
      </c>
      <c r="F45" s="491" t="s">
        <v>307</v>
      </c>
      <c r="G45" s="492" t="s">
        <v>308</v>
      </c>
      <c r="H45" s="535" t="str">
        <f t="shared" si="42"/>
        <v>E</v>
      </c>
      <c r="I45" s="528" t="str">
        <f t="shared" si="43"/>
        <v>G</v>
      </c>
      <c r="J45" s="529" t="str">
        <f t="shared" si="44"/>
        <v>G</v>
      </c>
      <c r="K45" s="623" t="s">
        <v>215</v>
      </c>
      <c r="L45" s="620"/>
      <c r="M45" s="386"/>
      <c r="N45" s="386"/>
      <c r="O45" s="387"/>
      <c r="P45" s="388"/>
      <c r="Q45" s="389"/>
      <c r="R45" s="388">
        <f t="shared" si="45"/>
        <v>5</v>
      </c>
      <c r="S45" s="389">
        <f t="shared" si="46"/>
        <v>0</v>
      </c>
      <c r="T45" s="679"/>
      <c r="U45" s="684"/>
      <c r="V45" s="388">
        <f t="shared" si="136"/>
        <v>0</v>
      </c>
      <c r="W45" s="389">
        <f>IF(Q45="x",1,0)</f>
        <v>0</v>
      </c>
      <c r="X45" s="367">
        <f t="shared" si="49"/>
        <v>0</v>
      </c>
      <c r="Y45" s="366" t="str">
        <f t="shared" si="50"/>
        <v/>
      </c>
      <c r="Z45" s="368" t="str">
        <f t="shared" si="51"/>
        <v>De vraag moet ingevuld worden.</v>
      </c>
      <c r="AA45" s="369">
        <f t="shared" si="68"/>
        <v>40</v>
      </c>
      <c r="AB45" s="316">
        <f t="shared" si="120"/>
        <v>14</v>
      </c>
      <c r="AC45" s="316" t="str">
        <f t="shared" si="121"/>
        <v>Hoe bereidt u het project voor?</v>
      </c>
      <c r="AD45" s="316" t="str">
        <f t="shared" si="52"/>
        <v>14 Hoe bereidt u het project voor?</v>
      </c>
      <c r="AE45" s="316" t="str">
        <f t="shared" si="122"/>
        <v>e Keuring- en kwaliteitbeheersingsplan</v>
      </c>
      <c r="AF45" s="316" t="str">
        <f t="shared" si="123"/>
        <v>14e</v>
      </c>
      <c r="AG45" s="316">
        <f t="shared" si="137"/>
        <v>0</v>
      </c>
      <c r="AH45" s="316">
        <f t="shared" si="137"/>
        <v>0</v>
      </c>
      <c r="AI45" s="316">
        <f t="shared" si="137"/>
        <v>0</v>
      </c>
      <c r="AJ45" s="316">
        <f t="shared" si="137"/>
        <v>0</v>
      </c>
      <c r="AK45" s="316">
        <f t="shared" si="54"/>
        <v>0</v>
      </c>
      <c r="AL45" s="316" t="e">
        <f t="shared" si="124"/>
        <v>#N/A</v>
      </c>
      <c r="AM45" s="316">
        <f t="shared" si="55"/>
        <v>0</v>
      </c>
      <c r="AN45" s="316">
        <f t="shared" si="56"/>
        <v>5</v>
      </c>
      <c r="AO45" s="312">
        <f t="shared" si="95"/>
        <v>0</v>
      </c>
      <c r="AP45" s="312" t="str">
        <f t="shared" si="96"/>
        <v/>
      </c>
      <c r="AQ45" s="312">
        <f t="shared" si="57"/>
        <v>0</v>
      </c>
      <c r="AR45" s="312" t="b">
        <f t="shared" si="125"/>
        <v>0</v>
      </c>
      <c r="AS45" s="312" t="b">
        <f t="shared" si="126"/>
        <v>1</v>
      </c>
      <c r="AT45" s="312" t="b">
        <f t="shared" si="127"/>
        <v>0</v>
      </c>
      <c r="AU45" s="312" t="b">
        <f t="shared" si="128"/>
        <v>0</v>
      </c>
      <c r="AV45" s="312" t="b">
        <f t="shared" si="129"/>
        <v>1</v>
      </c>
      <c r="AW45" s="312" t="b">
        <f t="shared" si="97"/>
        <v>0</v>
      </c>
      <c r="AX45" s="312">
        <f t="shared" si="130"/>
        <v>5</v>
      </c>
      <c r="AY45" s="312">
        <f t="shared" si="131"/>
        <v>0</v>
      </c>
      <c r="AZ45" s="312" t="b">
        <f t="shared" si="58"/>
        <v>0</v>
      </c>
      <c r="BA45" s="312" t="b">
        <f t="shared" si="59"/>
        <v>0</v>
      </c>
      <c r="BB45" s="312" t="b">
        <f t="shared" si="98"/>
        <v>0</v>
      </c>
      <c r="BC45" s="312" t="b">
        <f t="shared" si="99"/>
        <v>0</v>
      </c>
      <c r="BD45" s="312">
        <v>1</v>
      </c>
      <c r="BE45" s="312" t="b">
        <f t="shared" si="100"/>
        <v>0</v>
      </c>
      <c r="BF45" s="312" t="b">
        <f t="shared" si="101"/>
        <v>1</v>
      </c>
      <c r="BG45" s="312" t="b">
        <f t="shared" si="102"/>
        <v>0</v>
      </c>
      <c r="BH45" s="312" t="b">
        <f t="shared" si="103"/>
        <v>0</v>
      </c>
      <c r="BI45" s="312" t="b">
        <f t="shared" si="104"/>
        <v>1</v>
      </c>
      <c r="BJ45" s="312" t="b">
        <f t="shared" si="105"/>
        <v>0</v>
      </c>
      <c r="BK45" s="312" t="b">
        <f t="shared" si="106"/>
        <v>0</v>
      </c>
      <c r="BL45" s="312" t="b">
        <f t="shared" si="60"/>
        <v>0</v>
      </c>
      <c r="BM45" s="312" t="b">
        <f t="shared" si="132"/>
        <v>1</v>
      </c>
      <c r="BN45" s="312" t="b">
        <f t="shared" si="133"/>
        <v>0</v>
      </c>
      <c r="BO45" s="312" t="b">
        <f t="shared" si="107"/>
        <v>0</v>
      </c>
      <c r="BP45" s="312" t="str">
        <f t="shared" si="134"/>
        <v>De vraag moet ingevuld worden.</v>
      </c>
      <c r="BQ45" s="312" t="str">
        <f t="shared" si="108"/>
        <v/>
      </c>
      <c r="BR45" s="312" t="str">
        <f t="shared" si="109"/>
        <v>Deze vraag moet minimaal antwoord 2, 3 of 4 hebben.</v>
      </c>
      <c r="BS45" s="312" t="str">
        <f t="shared" si="110"/>
        <v/>
      </c>
      <c r="BT45" s="312" t="str">
        <f t="shared" si="111"/>
        <v/>
      </c>
      <c r="BU45" s="312" t="str">
        <f t="shared" si="112"/>
        <v/>
      </c>
      <c r="BV45" s="312" t="str">
        <f t="shared" si="61"/>
        <v>De vraag moet ingevuld worden.</v>
      </c>
      <c r="BW45" s="312" t="str">
        <f t="shared" si="113"/>
        <v/>
      </c>
      <c r="BX45" s="312" t="str">
        <f t="shared" si="114"/>
        <v/>
      </c>
      <c r="BY45" s="312" t="str">
        <f t="shared" si="115"/>
        <v/>
      </c>
      <c r="BZ45" s="312" t="b">
        <f t="shared" si="62"/>
        <v>1</v>
      </c>
      <c r="CA45" s="312" t="b">
        <f t="shared" si="116"/>
        <v>0</v>
      </c>
      <c r="CB45" s="312" t="b">
        <f t="shared" si="63"/>
        <v>0</v>
      </c>
      <c r="CC45" s="312" t="str">
        <f t="shared" si="91"/>
        <v>E</v>
      </c>
      <c r="CD45" s="312" t="str">
        <f t="shared" si="91"/>
        <v>G</v>
      </c>
      <c r="CE45" s="312" t="str">
        <f t="shared" si="91"/>
        <v>G</v>
      </c>
      <c r="CF45" s="312" t="b">
        <f t="shared" si="117"/>
        <v>0</v>
      </c>
      <c r="CG45" s="312">
        <f t="shared" si="118"/>
        <v>0</v>
      </c>
      <c r="CH45" s="312">
        <f t="shared" si="135"/>
        <v>0</v>
      </c>
      <c r="CI45" s="312">
        <v>5</v>
      </c>
      <c r="CK45" s="312" t="str">
        <f t="shared" si="138"/>
        <v>Fase 4</v>
      </c>
      <c r="CL45" s="312">
        <f t="shared" si="119"/>
        <v>234</v>
      </c>
      <c r="CM45" s="312">
        <f t="shared" si="65"/>
        <v>4</v>
      </c>
      <c r="CN45" s="312">
        <f t="shared" si="66"/>
        <v>2</v>
      </c>
      <c r="CO45" s="312">
        <f t="shared" si="67"/>
        <v>4</v>
      </c>
    </row>
    <row r="46" spans="1:93" ht="15">
      <c r="A46" s="569" t="str">
        <f>A41</f>
        <v>Fase 4</v>
      </c>
      <c r="B46" s="570" t="str">
        <f>B41</f>
        <v>Opdrachtverstrekking en</v>
      </c>
      <c r="C46" s="376">
        <v>15</v>
      </c>
      <c r="D46" s="677" t="s">
        <v>309</v>
      </c>
      <c r="E46" s="481" t="s">
        <v>17</v>
      </c>
      <c r="F46" s="482" t="s">
        <v>571</v>
      </c>
      <c r="G46" s="483" t="s">
        <v>311</v>
      </c>
      <c r="H46" s="530" t="str">
        <f t="shared" si="42"/>
        <v>E</v>
      </c>
      <c r="I46" s="526" t="str">
        <f t="shared" si="43"/>
        <v>G</v>
      </c>
      <c r="J46" s="517" t="str">
        <f t="shared" si="44"/>
        <v>G</v>
      </c>
      <c r="K46" s="613" t="s">
        <v>215</v>
      </c>
      <c r="L46" s="614"/>
      <c r="M46" s="377"/>
      <c r="N46" s="377"/>
      <c r="O46" s="378"/>
      <c r="P46" s="379"/>
      <c r="Q46" s="380"/>
      <c r="R46" s="379">
        <f t="shared" si="45"/>
        <v>5</v>
      </c>
      <c r="S46" s="380">
        <f t="shared" si="46"/>
        <v>0</v>
      </c>
      <c r="T46" s="674">
        <f>SUMIF($AV46:$AV48,TRUE,R46:R48)</f>
        <v>10</v>
      </c>
      <c r="U46" s="691">
        <f>SUMIF($AV46:$AV48,TRUE,S46:S48)</f>
        <v>10</v>
      </c>
      <c r="V46" s="379">
        <f t="shared" si="136"/>
        <v>0</v>
      </c>
      <c r="W46" s="389">
        <f aca="true" t="shared" si="139" ref="W46:W49">IF(Q46="x",1,0)</f>
        <v>0</v>
      </c>
      <c r="X46" s="367">
        <f t="shared" si="49"/>
        <v>0</v>
      </c>
      <c r="Y46" s="366" t="str">
        <f t="shared" si="50"/>
        <v/>
      </c>
      <c r="Z46" s="368" t="str">
        <f t="shared" si="51"/>
        <v>De vraag moet ingevuld worden.</v>
      </c>
      <c r="AA46" s="369">
        <f t="shared" si="68"/>
        <v>41</v>
      </c>
      <c r="AB46" s="316">
        <f t="shared" si="120"/>
        <v>15</v>
      </c>
      <c r="AC46" s="316" t="str">
        <f t="shared" si="121"/>
        <v>Hoe maakt u definitieve afspraken met uw opdrachtgever en hoe maakt u lange termijn afspraken met ketenpartners?</v>
      </c>
      <c r="AD46" s="316" t="str">
        <f t="shared" si="52"/>
        <v>15 Hoe maakt u definitieve afspraken met uw opdrachtgever en hoe maakt u lange termijn afspraken met ketenpartners?</v>
      </c>
      <c r="AE46" s="316" t="str">
        <f t="shared" si="122"/>
        <v>a Resultaatovereenkomst RGS opdrachtgever</v>
      </c>
      <c r="AF46" s="316" t="str">
        <f t="shared" si="123"/>
        <v>15a</v>
      </c>
      <c r="AG46" s="316">
        <f t="shared" si="137"/>
        <v>0</v>
      </c>
      <c r="AH46" s="316">
        <f t="shared" si="137"/>
        <v>0</v>
      </c>
      <c r="AI46" s="316">
        <f t="shared" si="137"/>
        <v>0</v>
      </c>
      <c r="AJ46" s="316">
        <f t="shared" si="137"/>
        <v>0</v>
      </c>
      <c r="AK46" s="316">
        <f t="shared" si="54"/>
        <v>0</v>
      </c>
      <c r="AL46" s="316" t="e">
        <f t="shared" si="124"/>
        <v>#N/A</v>
      </c>
      <c r="AM46" s="316">
        <f t="shared" si="55"/>
        <v>0</v>
      </c>
      <c r="AN46" s="316">
        <f t="shared" si="56"/>
        <v>5</v>
      </c>
      <c r="AO46" s="312">
        <f t="shared" si="95"/>
        <v>0</v>
      </c>
      <c r="AP46" s="312" t="str">
        <f t="shared" si="96"/>
        <v/>
      </c>
      <c r="AQ46" s="312">
        <f t="shared" si="57"/>
        <v>0</v>
      </c>
      <c r="AR46" s="312" t="b">
        <f t="shared" si="125"/>
        <v>0</v>
      </c>
      <c r="AS46" s="312" t="b">
        <f t="shared" si="126"/>
        <v>1</v>
      </c>
      <c r="AT46" s="312" t="b">
        <f t="shared" si="127"/>
        <v>0</v>
      </c>
      <c r="AU46" s="312" t="b">
        <f t="shared" si="128"/>
        <v>0</v>
      </c>
      <c r="AV46" s="312" t="b">
        <f t="shared" si="129"/>
        <v>1</v>
      </c>
      <c r="AW46" s="312" t="b">
        <f t="shared" si="97"/>
        <v>0</v>
      </c>
      <c r="AX46" s="312">
        <f t="shared" si="130"/>
        <v>5</v>
      </c>
      <c r="AY46" s="312">
        <f t="shared" si="131"/>
        <v>0</v>
      </c>
      <c r="AZ46" s="312" t="b">
        <f t="shared" si="58"/>
        <v>0</v>
      </c>
      <c r="BA46" s="312" t="b">
        <f t="shared" si="59"/>
        <v>0</v>
      </c>
      <c r="BB46" s="312" t="b">
        <f t="shared" si="98"/>
        <v>0</v>
      </c>
      <c r="BC46" s="312" t="b">
        <f t="shared" si="99"/>
        <v>0</v>
      </c>
      <c r="BD46" s="312">
        <v>1</v>
      </c>
      <c r="BE46" s="312" t="b">
        <f t="shared" si="100"/>
        <v>0</v>
      </c>
      <c r="BF46" s="312" t="b">
        <f t="shared" si="101"/>
        <v>1</v>
      </c>
      <c r="BG46" s="312" t="b">
        <f t="shared" si="102"/>
        <v>0</v>
      </c>
      <c r="BH46" s="312" t="b">
        <f t="shared" si="103"/>
        <v>0</v>
      </c>
      <c r="BI46" s="312" t="b">
        <f t="shared" si="104"/>
        <v>1</v>
      </c>
      <c r="BJ46" s="312" t="b">
        <f t="shared" si="105"/>
        <v>0</v>
      </c>
      <c r="BK46" s="312" t="b">
        <f t="shared" si="106"/>
        <v>0</v>
      </c>
      <c r="BL46" s="312" t="b">
        <f t="shared" si="60"/>
        <v>0</v>
      </c>
      <c r="BM46" s="312" t="b">
        <f t="shared" si="132"/>
        <v>1</v>
      </c>
      <c r="BN46" s="312" t="b">
        <f t="shared" si="133"/>
        <v>0</v>
      </c>
      <c r="BO46" s="312" t="b">
        <f t="shared" si="107"/>
        <v>0</v>
      </c>
      <c r="BP46" s="312" t="str">
        <f t="shared" si="134"/>
        <v>De vraag moet ingevuld worden.</v>
      </c>
      <c r="BQ46" s="312" t="str">
        <f t="shared" si="108"/>
        <v/>
      </c>
      <c r="BR46" s="312" t="str">
        <f t="shared" si="109"/>
        <v>Deze vraag moet minimaal antwoord 2, 3 of 4 hebben.</v>
      </c>
      <c r="BS46" s="312" t="str">
        <f t="shared" si="110"/>
        <v/>
      </c>
      <c r="BT46" s="312" t="str">
        <f t="shared" si="111"/>
        <v/>
      </c>
      <c r="BU46" s="312" t="str">
        <f t="shared" si="112"/>
        <v/>
      </c>
      <c r="BV46" s="312" t="str">
        <f t="shared" si="61"/>
        <v>De vraag moet ingevuld worden.</v>
      </c>
      <c r="BW46" s="312" t="str">
        <f t="shared" si="113"/>
        <v/>
      </c>
      <c r="BX46" s="312" t="str">
        <f t="shared" si="114"/>
        <v/>
      </c>
      <c r="BY46" s="312" t="str">
        <f t="shared" si="115"/>
        <v/>
      </c>
      <c r="BZ46" s="312" t="b">
        <f t="shared" si="62"/>
        <v>1</v>
      </c>
      <c r="CA46" s="312" t="b">
        <f t="shared" si="116"/>
        <v>0</v>
      </c>
      <c r="CB46" s="312" t="b">
        <f t="shared" si="63"/>
        <v>0</v>
      </c>
      <c r="CC46" s="312" t="str">
        <f aca="true" t="shared" si="140" ref="CC46:CE56">IF($AV46,IF(VLOOKUP($AF46,vragen_must,CC$5,FALSE),lbl_vraag_must,IF(VLOOKUP($AF46,vragen_gewoon_1,CC$5,FALSE),lbl_vraag_extra,IF(VLOOKUP($AF46,vragen_must_tijdelijk,CC$5,FALSE),lbl_vraag_must_tijdelijk,IF(VLOOKUP($AF46,vragen_ontwikkel,CC$5,FALSE),lbl_vraag_must_ontwikkel,lbl_gewone_vraag)))),"")</f>
        <v>E</v>
      </c>
      <c r="CD46" s="312" t="str">
        <f t="shared" si="140"/>
        <v>G</v>
      </c>
      <c r="CE46" s="312" t="str">
        <f t="shared" si="140"/>
        <v>G</v>
      </c>
      <c r="CF46" s="312" t="b">
        <f t="shared" si="117"/>
        <v>1</v>
      </c>
      <c r="CG46" s="312" t="str">
        <f t="shared" si="118"/>
        <v>Fase 4</v>
      </c>
      <c r="CH46" s="312" t="str">
        <f t="shared" si="135"/>
        <v>Fase 4</v>
      </c>
      <c r="CI46" s="312">
        <v>5</v>
      </c>
      <c r="CK46" s="312" t="str">
        <f t="shared" si="138"/>
        <v>Fase 4</v>
      </c>
      <c r="CL46" s="312">
        <f t="shared" si="119"/>
        <v>234</v>
      </c>
      <c r="CM46" s="312">
        <f t="shared" si="65"/>
        <v>4</v>
      </c>
      <c r="CN46" s="312">
        <f t="shared" si="66"/>
        <v>2</v>
      </c>
      <c r="CO46" s="312">
        <f t="shared" si="67"/>
        <v>4</v>
      </c>
    </row>
    <row r="47" spans="1:93" ht="15">
      <c r="A47" s="403"/>
      <c r="B47" s="404"/>
      <c r="C47" s="419"/>
      <c r="D47" s="678"/>
      <c r="E47" s="486" t="s">
        <v>18</v>
      </c>
      <c r="F47" s="487" t="s">
        <v>671</v>
      </c>
      <c r="G47" s="493" t="s">
        <v>313</v>
      </c>
      <c r="H47" s="518" t="str">
        <f t="shared" si="42"/>
        <v>E</v>
      </c>
      <c r="I47" s="532" t="str">
        <f aca="true" t="shared" si="141" ref="I47">CD47</f>
        <v>G</v>
      </c>
      <c r="J47" s="523" t="str">
        <f aca="true" t="shared" si="142" ref="J47">CE47</f>
        <v>G</v>
      </c>
      <c r="K47" s="534" t="s">
        <v>216</v>
      </c>
      <c r="L47" s="619"/>
      <c r="M47" s="382"/>
      <c r="N47" s="382"/>
      <c r="O47" s="383"/>
      <c r="P47" s="375"/>
      <c r="Q47" s="384"/>
      <c r="R47" s="375">
        <f t="shared" si="45"/>
        <v>5</v>
      </c>
      <c r="S47" s="384">
        <f t="shared" si="46"/>
        <v>0</v>
      </c>
      <c r="T47" s="674"/>
      <c r="U47" s="691"/>
      <c r="V47" s="375">
        <f t="shared" si="136"/>
        <v>0</v>
      </c>
      <c r="W47" s="389">
        <f t="shared" si="139"/>
        <v>0</v>
      </c>
      <c r="X47" s="367" t="str">
        <f t="shared" si="49"/>
        <v/>
      </c>
      <c r="Y47" s="366">
        <f t="shared" si="50"/>
        <v>0</v>
      </c>
      <c r="Z47" s="368" t="str">
        <f t="shared" si="51"/>
        <v>De vraag moet ingevuld worden.</v>
      </c>
      <c r="AA47" s="369">
        <f t="shared" si="68"/>
        <v>42</v>
      </c>
      <c r="AB47" s="316">
        <f t="shared" si="120"/>
        <v>15</v>
      </c>
      <c r="AC47" s="316" t="str">
        <f t="shared" si="121"/>
        <v>Hoe maakt u definitieve afspraken met uw opdrachtgever en hoe maakt u lange termijn afspraken met ketenpartners?</v>
      </c>
      <c r="AD47" s="316" t="str">
        <f t="shared" si="52"/>
        <v>15 Hoe maakt u definitieve afspraken met uw opdrachtgever en hoe maakt u lange termijn afspraken met ketenpartners?</v>
      </c>
      <c r="AE47" s="316" t="str">
        <f t="shared" si="122"/>
        <v>b Resultaatovereenkomst RGS partners</v>
      </c>
      <c r="AF47" s="316" t="str">
        <f t="shared" si="123"/>
        <v>15b</v>
      </c>
      <c r="AG47" s="316">
        <f t="shared" si="137"/>
        <v>0</v>
      </c>
      <c r="AH47" s="316">
        <f t="shared" si="137"/>
        <v>0</v>
      </c>
      <c r="AI47" s="316">
        <f t="shared" si="137"/>
        <v>0</v>
      </c>
      <c r="AJ47" s="316">
        <f t="shared" si="137"/>
        <v>0</v>
      </c>
      <c r="AK47" s="316">
        <f t="shared" si="54"/>
        <v>0</v>
      </c>
      <c r="AL47" s="316" t="e">
        <f t="shared" si="124"/>
        <v>#N/A</v>
      </c>
      <c r="AM47" s="316">
        <f t="shared" si="55"/>
        <v>0</v>
      </c>
      <c r="AN47" s="316">
        <f t="shared" si="56"/>
        <v>5</v>
      </c>
      <c r="AO47" s="312" t="str">
        <f t="shared" si="95"/>
        <v/>
      </c>
      <c r="AP47" s="312">
        <f t="shared" si="96"/>
        <v>0</v>
      </c>
      <c r="AQ47" s="312">
        <f t="shared" si="57"/>
        <v>0</v>
      </c>
      <c r="AR47" s="312" t="b">
        <f t="shared" si="125"/>
        <v>0</v>
      </c>
      <c r="AS47" s="312" t="b">
        <f t="shared" si="126"/>
        <v>1</v>
      </c>
      <c r="AT47" s="312" t="b">
        <f t="shared" si="127"/>
        <v>0</v>
      </c>
      <c r="AU47" s="312" t="b">
        <f t="shared" si="128"/>
        <v>0</v>
      </c>
      <c r="AV47" s="312" t="b">
        <f t="shared" si="129"/>
        <v>1</v>
      </c>
      <c r="AW47" s="312" t="b">
        <f t="shared" si="97"/>
        <v>0</v>
      </c>
      <c r="AX47" s="312">
        <f t="shared" si="130"/>
        <v>5</v>
      </c>
      <c r="AY47" s="312">
        <f t="shared" si="131"/>
        <v>0</v>
      </c>
      <c r="AZ47" s="312" t="b">
        <f t="shared" si="58"/>
        <v>0</v>
      </c>
      <c r="BA47" s="312" t="b">
        <f t="shared" si="59"/>
        <v>0</v>
      </c>
      <c r="BB47" s="312" t="b">
        <f t="shared" si="98"/>
        <v>0</v>
      </c>
      <c r="BC47" s="312" t="b">
        <f t="shared" si="99"/>
        <v>0</v>
      </c>
      <c r="BD47" s="312">
        <v>1</v>
      </c>
      <c r="BE47" s="312" t="b">
        <f t="shared" si="100"/>
        <v>0</v>
      </c>
      <c r="BF47" s="312" t="b">
        <f t="shared" si="101"/>
        <v>1</v>
      </c>
      <c r="BG47" s="312" t="b">
        <f t="shared" si="102"/>
        <v>0</v>
      </c>
      <c r="BH47" s="312" t="b">
        <f t="shared" si="103"/>
        <v>0</v>
      </c>
      <c r="BI47" s="312" t="b">
        <f t="shared" si="104"/>
        <v>1</v>
      </c>
      <c r="BJ47" s="312" t="b">
        <f t="shared" si="105"/>
        <v>0</v>
      </c>
      <c r="BK47" s="312" t="b">
        <f t="shared" si="106"/>
        <v>0</v>
      </c>
      <c r="BL47" s="312" t="b">
        <f t="shared" si="60"/>
        <v>0</v>
      </c>
      <c r="BM47" s="312" t="b">
        <f t="shared" si="132"/>
        <v>0</v>
      </c>
      <c r="BN47" s="312" t="b">
        <f t="shared" si="133"/>
        <v>1</v>
      </c>
      <c r="BO47" s="312" t="b">
        <f t="shared" si="107"/>
        <v>0</v>
      </c>
      <c r="BP47" s="312" t="str">
        <f t="shared" si="134"/>
        <v>De vraag moet ingevuld worden.</v>
      </c>
      <c r="BQ47" s="312" t="str">
        <f t="shared" si="108"/>
        <v/>
      </c>
      <c r="BR47" s="312" t="str">
        <f t="shared" si="109"/>
        <v>Deze vraag moet minimaal antwoord 2, 3 of 4 hebben.</v>
      </c>
      <c r="BS47" s="312" t="str">
        <f t="shared" si="110"/>
        <v/>
      </c>
      <c r="BT47" s="312" t="str">
        <f t="shared" si="111"/>
        <v/>
      </c>
      <c r="BU47" s="312" t="str">
        <f t="shared" si="112"/>
        <v/>
      </c>
      <c r="BV47" s="312" t="str">
        <f t="shared" si="61"/>
        <v>De vraag moet ingevuld worden.</v>
      </c>
      <c r="BW47" s="312" t="str">
        <f t="shared" si="113"/>
        <v/>
      </c>
      <c r="BX47" s="312" t="str">
        <f t="shared" si="114"/>
        <v/>
      </c>
      <c r="BY47" s="312" t="str">
        <f t="shared" si="115"/>
        <v/>
      </c>
      <c r="BZ47" s="312" t="b">
        <f t="shared" si="62"/>
        <v>1</v>
      </c>
      <c r="CA47" s="312" t="b">
        <f t="shared" si="116"/>
        <v>0</v>
      </c>
      <c r="CB47" s="312" t="b">
        <f t="shared" si="63"/>
        <v>0</v>
      </c>
      <c r="CC47" s="312" t="str">
        <f t="shared" si="140"/>
        <v>E</v>
      </c>
      <c r="CD47" s="312" t="str">
        <f t="shared" si="140"/>
        <v>G</v>
      </c>
      <c r="CE47" s="312" t="str">
        <f t="shared" si="140"/>
        <v>G</v>
      </c>
      <c r="CF47" s="312" t="b">
        <f t="shared" si="117"/>
        <v>0</v>
      </c>
      <c r="CG47" s="312" t="str">
        <f t="shared" si="118"/>
        <v/>
      </c>
      <c r="CH47" s="312" t="str">
        <f t="shared" si="135"/>
        <v>Fase 4</v>
      </c>
      <c r="CI47" s="312">
        <v>5</v>
      </c>
      <c r="CK47" s="312" t="str">
        <f t="shared" si="138"/>
        <v>Fase 4</v>
      </c>
      <c r="CL47" s="312">
        <f t="shared" si="119"/>
        <v>234</v>
      </c>
      <c r="CM47" s="312">
        <f t="shared" si="65"/>
        <v>4</v>
      </c>
      <c r="CN47" s="312">
        <f t="shared" si="66"/>
        <v>2</v>
      </c>
      <c r="CO47" s="312">
        <f t="shared" si="67"/>
        <v>4</v>
      </c>
    </row>
    <row r="48" spans="1:93" ht="15.75" thickBot="1">
      <c r="A48" s="409"/>
      <c r="B48" s="536" t="str">
        <f>B42</f>
        <v>uitvoeringsvoorbereiding</v>
      </c>
      <c r="C48" s="413"/>
      <c r="D48" s="336"/>
      <c r="E48" s="494" t="s">
        <v>19</v>
      </c>
      <c r="F48" s="495" t="s">
        <v>314</v>
      </c>
      <c r="G48" s="496" t="s">
        <v>232</v>
      </c>
      <c r="H48" s="533" t="str">
        <f t="shared" si="42"/>
        <v>E</v>
      </c>
      <c r="I48" s="524" t="str">
        <f t="shared" si="43"/>
        <v>G</v>
      </c>
      <c r="J48" s="522" t="str">
        <f t="shared" si="44"/>
        <v>G</v>
      </c>
      <c r="K48" s="617" t="s">
        <v>216</v>
      </c>
      <c r="L48" s="618"/>
      <c r="M48" s="392"/>
      <c r="N48" s="392"/>
      <c r="O48" s="393"/>
      <c r="P48" s="394"/>
      <c r="Q48" s="395"/>
      <c r="R48" s="394">
        <f t="shared" si="45"/>
        <v>0</v>
      </c>
      <c r="S48" s="395">
        <f t="shared" si="46"/>
        <v>10</v>
      </c>
      <c r="T48" s="679"/>
      <c r="U48" s="684"/>
      <c r="V48" s="394">
        <f t="shared" si="136"/>
        <v>0</v>
      </c>
      <c r="W48" s="389">
        <f t="shared" si="139"/>
        <v>0</v>
      </c>
      <c r="X48" s="367" t="str">
        <f t="shared" si="49"/>
        <v/>
      </c>
      <c r="Y48" s="366">
        <f t="shared" si="50"/>
        <v>0</v>
      </c>
      <c r="Z48" s="368" t="str">
        <f t="shared" si="51"/>
        <v>De vraag moet ingevuld worden.</v>
      </c>
      <c r="AA48" s="369">
        <f t="shared" si="68"/>
        <v>43</v>
      </c>
      <c r="AB48" s="316">
        <f t="shared" si="120"/>
        <v>15</v>
      </c>
      <c r="AC48" s="316" t="str">
        <f t="shared" si="121"/>
        <v>Hoe maakt u definitieve afspraken met uw opdrachtgever en hoe maakt u lange termijn afspraken met ketenpartners?</v>
      </c>
      <c r="AD48" s="316" t="str">
        <f t="shared" si="52"/>
        <v>15 Hoe maakt u definitieve afspraken met uw opdrachtgever en hoe maakt u lange termijn afspraken met ketenpartners?</v>
      </c>
      <c r="AE48" s="316" t="str">
        <f t="shared" si="122"/>
        <v>c Contractvorming</v>
      </c>
      <c r="AF48" s="316" t="str">
        <f t="shared" si="123"/>
        <v>15c</v>
      </c>
      <c r="AG48" s="316">
        <f t="shared" si="137"/>
        <v>0</v>
      </c>
      <c r="AH48" s="316">
        <f t="shared" si="137"/>
        <v>0</v>
      </c>
      <c r="AI48" s="316">
        <f t="shared" si="137"/>
        <v>0</v>
      </c>
      <c r="AJ48" s="316">
        <f t="shared" si="137"/>
        <v>0</v>
      </c>
      <c r="AK48" s="316">
        <f t="shared" si="54"/>
        <v>0</v>
      </c>
      <c r="AL48" s="316" t="e">
        <f t="shared" si="124"/>
        <v>#N/A</v>
      </c>
      <c r="AM48" s="316">
        <f t="shared" si="55"/>
        <v>0</v>
      </c>
      <c r="AN48" s="316">
        <f t="shared" si="56"/>
        <v>0</v>
      </c>
      <c r="AO48" s="312" t="str">
        <f t="shared" si="95"/>
        <v/>
      </c>
      <c r="AP48" s="312">
        <f t="shared" si="96"/>
        <v>0</v>
      </c>
      <c r="AQ48" s="312">
        <f t="shared" si="57"/>
        <v>0</v>
      </c>
      <c r="AR48" s="312" t="b">
        <f t="shared" si="125"/>
        <v>0</v>
      </c>
      <c r="AS48" s="312" t="b">
        <f t="shared" si="126"/>
        <v>1</v>
      </c>
      <c r="AT48" s="312" t="b">
        <f t="shared" si="127"/>
        <v>0</v>
      </c>
      <c r="AU48" s="312" t="b">
        <f t="shared" si="128"/>
        <v>0</v>
      </c>
      <c r="AV48" s="312" t="b">
        <f t="shared" si="129"/>
        <v>1</v>
      </c>
      <c r="AW48" s="312" t="b">
        <f t="shared" si="97"/>
        <v>0</v>
      </c>
      <c r="AX48" s="312">
        <f t="shared" si="130"/>
        <v>0</v>
      </c>
      <c r="AY48" s="312">
        <f t="shared" si="131"/>
        <v>10</v>
      </c>
      <c r="AZ48" s="312" t="b">
        <f t="shared" si="58"/>
        <v>0</v>
      </c>
      <c r="BA48" s="312" t="b">
        <f t="shared" si="59"/>
        <v>0</v>
      </c>
      <c r="BB48" s="312" t="b">
        <f t="shared" si="98"/>
        <v>0</v>
      </c>
      <c r="BC48" s="312" t="b">
        <f t="shared" si="99"/>
        <v>0</v>
      </c>
      <c r="BD48" s="312">
        <v>1</v>
      </c>
      <c r="BE48" s="312" t="b">
        <f t="shared" si="100"/>
        <v>0</v>
      </c>
      <c r="BF48" s="312" t="b">
        <f t="shared" si="101"/>
        <v>1</v>
      </c>
      <c r="BG48" s="312" t="b">
        <f t="shared" si="102"/>
        <v>0</v>
      </c>
      <c r="BH48" s="312" t="b">
        <f t="shared" si="103"/>
        <v>0</v>
      </c>
      <c r="BI48" s="312" t="b">
        <f t="shared" si="104"/>
        <v>1</v>
      </c>
      <c r="BJ48" s="312" t="b">
        <f t="shared" si="105"/>
        <v>0</v>
      </c>
      <c r="BK48" s="312" t="b">
        <f t="shared" si="106"/>
        <v>0</v>
      </c>
      <c r="BL48" s="312" t="b">
        <f t="shared" si="60"/>
        <v>0</v>
      </c>
      <c r="BM48" s="312" t="b">
        <f t="shared" si="132"/>
        <v>0</v>
      </c>
      <c r="BN48" s="312" t="b">
        <f t="shared" si="133"/>
        <v>1</v>
      </c>
      <c r="BO48" s="312" t="b">
        <f t="shared" si="107"/>
        <v>0</v>
      </c>
      <c r="BP48" s="312" t="str">
        <f t="shared" si="134"/>
        <v>De vraag moet ingevuld worden.</v>
      </c>
      <c r="BQ48" s="312" t="str">
        <f t="shared" si="108"/>
        <v/>
      </c>
      <c r="BR48" s="312" t="str">
        <f t="shared" si="109"/>
        <v>Deze vraag moet minimaal antwoord 2, 3 of 4 hebben.</v>
      </c>
      <c r="BS48" s="312" t="str">
        <f t="shared" si="110"/>
        <v/>
      </c>
      <c r="BT48" s="312" t="str">
        <f t="shared" si="111"/>
        <v/>
      </c>
      <c r="BU48" s="312" t="str">
        <f t="shared" si="112"/>
        <v/>
      </c>
      <c r="BV48" s="312" t="str">
        <f t="shared" si="61"/>
        <v>De vraag moet ingevuld worden.</v>
      </c>
      <c r="BW48" s="312" t="str">
        <f t="shared" si="113"/>
        <v/>
      </c>
      <c r="BX48" s="312" t="str">
        <f t="shared" si="114"/>
        <v/>
      </c>
      <c r="BY48" s="312" t="str">
        <f t="shared" si="115"/>
        <v/>
      </c>
      <c r="BZ48" s="312" t="b">
        <f t="shared" si="62"/>
        <v>1</v>
      </c>
      <c r="CA48" s="312" t="b">
        <f t="shared" si="116"/>
        <v>0</v>
      </c>
      <c r="CB48" s="312" t="b">
        <f t="shared" si="63"/>
        <v>0</v>
      </c>
      <c r="CC48" s="312" t="str">
        <f t="shared" si="140"/>
        <v>E</v>
      </c>
      <c r="CD48" s="312" t="str">
        <f t="shared" si="140"/>
        <v>G</v>
      </c>
      <c r="CE48" s="312" t="str">
        <f t="shared" si="140"/>
        <v>G</v>
      </c>
      <c r="CF48" s="312" t="b">
        <f t="shared" si="117"/>
        <v>0</v>
      </c>
      <c r="CG48" s="312">
        <f t="shared" si="118"/>
        <v>0</v>
      </c>
      <c r="CH48" s="312">
        <f t="shared" si="135"/>
        <v>0</v>
      </c>
      <c r="CJ48" s="312">
        <v>10</v>
      </c>
      <c r="CK48" s="312" t="str">
        <f t="shared" si="138"/>
        <v>Fase 4</v>
      </c>
      <c r="CL48" s="312">
        <f t="shared" si="119"/>
        <v>234</v>
      </c>
      <c r="CM48" s="312">
        <f t="shared" si="65"/>
        <v>4</v>
      </c>
      <c r="CN48" s="312">
        <f t="shared" si="66"/>
        <v>2</v>
      </c>
      <c r="CO48" s="312">
        <f t="shared" si="67"/>
        <v>4</v>
      </c>
    </row>
    <row r="49" spans="1:93" ht="30" customHeight="1">
      <c r="A49" s="400" t="s">
        <v>315</v>
      </c>
      <c r="B49" s="401" t="s">
        <v>316</v>
      </c>
      <c r="C49" s="376">
        <v>16</v>
      </c>
      <c r="D49" s="361" t="s">
        <v>626</v>
      </c>
      <c r="E49" s="463" t="s">
        <v>17</v>
      </c>
      <c r="F49" s="467" t="s">
        <v>318</v>
      </c>
      <c r="G49" s="468" t="s">
        <v>319</v>
      </c>
      <c r="H49" s="530" t="str">
        <f t="shared" si="42"/>
        <v>E</v>
      </c>
      <c r="I49" s="526" t="str">
        <f t="shared" si="43"/>
        <v>M</v>
      </c>
      <c r="J49" s="517" t="str">
        <f t="shared" si="44"/>
        <v>M</v>
      </c>
      <c r="K49" s="613" t="s">
        <v>215</v>
      </c>
      <c r="L49" s="614"/>
      <c r="M49" s="377"/>
      <c r="N49" s="377"/>
      <c r="O49" s="378"/>
      <c r="P49" s="379"/>
      <c r="Q49" s="380"/>
      <c r="R49" s="379">
        <f t="shared" si="45"/>
        <v>15</v>
      </c>
      <c r="S49" s="380">
        <f t="shared" si="46"/>
        <v>0</v>
      </c>
      <c r="T49" s="673">
        <f>SUMIF($AV49:$AV52,TRUE,R49:R52)</f>
        <v>40</v>
      </c>
      <c r="U49" s="675">
        <f>SUMIF($AV49:$AV52,TRUE,S49:S52)</f>
        <v>10</v>
      </c>
      <c r="V49" s="379">
        <f t="shared" si="136"/>
        <v>0</v>
      </c>
      <c r="W49" s="389">
        <f t="shared" si="139"/>
        <v>0</v>
      </c>
      <c r="X49" s="367">
        <f t="shared" si="49"/>
        <v>0</v>
      </c>
      <c r="Y49" s="366" t="str">
        <f t="shared" si="50"/>
        <v/>
      </c>
      <c r="Z49" s="368" t="str">
        <f t="shared" si="51"/>
        <v>De vraag moet ingevuld worden.</v>
      </c>
      <c r="AA49" s="369">
        <f t="shared" si="68"/>
        <v>44</v>
      </c>
      <c r="AB49" s="316">
        <f t="shared" si="120"/>
        <v>16</v>
      </c>
      <c r="AC49" s="316" t="str">
        <f t="shared" si="121"/>
        <v>Hoe borgt u kwaliteit en wat is kritisch in het project en proces?</v>
      </c>
      <c r="AD49" s="316" t="str">
        <f t="shared" si="52"/>
        <v>16 Hoe borgt u kwaliteit en wat is kritisch in het project en proces?</v>
      </c>
      <c r="AE49" s="316" t="str">
        <f t="shared" si="122"/>
        <v>a Activiteitenplan en werkomschrijving</v>
      </c>
      <c r="AF49" s="316" t="str">
        <f t="shared" si="123"/>
        <v>16a</v>
      </c>
      <c r="AG49" s="316">
        <f t="shared" si="137"/>
        <v>0</v>
      </c>
      <c r="AH49" s="316">
        <f t="shared" si="137"/>
        <v>0</v>
      </c>
      <c r="AI49" s="316">
        <f t="shared" si="137"/>
        <v>0</v>
      </c>
      <c r="AJ49" s="316">
        <f t="shared" si="137"/>
        <v>0</v>
      </c>
      <c r="AK49" s="316">
        <f t="shared" si="54"/>
        <v>0</v>
      </c>
      <c r="AL49" s="316" t="e">
        <f t="shared" si="124"/>
        <v>#N/A</v>
      </c>
      <c r="AM49" s="316">
        <f t="shared" si="55"/>
        <v>0</v>
      </c>
      <c r="AN49" s="316">
        <f t="shared" si="56"/>
        <v>15</v>
      </c>
      <c r="AO49" s="312">
        <f t="shared" si="95"/>
        <v>0</v>
      </c>
      <c r="AP49" s="312" t="str">
        <f t="shared" si="96"/>
        <v/>
      </c>
      <c r="AQ49" s="312">
        <f t="shared" si="57"/>
        <v>0</v>
      </c>
      <c r="AR49" s="312" t="b">
        <f t="shared" si="125"/>
        <v>1</v>
      </c>
      <c r="AS49" s="312" t="b">
        <f t="shared" si="126"/>
        <v>0</v>
      </c>
      <c r="AT49" s="312" t="b">
        <f t="shared" si="127"/>
        <v>0</v>
      </c>
      <c r="AU49" s="312" t="b">
        <f t="shared" si="128"/>
        <v>0</v>
      </c>
      <c r="AV49" s="312" t="b">
        <f t="shared" si="129"/>
        <v>1</v>
      </c>
      <c r="AW49" s="312" t="b">
        <f t="shared" si="97"/>
        <v>0</v>
      </c>
      <c r="AX49" s="312">
        <f t="shared" si="130"/>
        <v>15</v>
      </c>
      <c r="AY49" s="312">
        <f t="shared" si="131"/>
        <v>0</v>
      </c>
      <c r="AZ49" s="312" t="b">
        <f t="shared" si="58"/>
        <v>0</v>
      </c>
      <c r="BA49" s="312" t="b">
        <f t="shared" si="59"/>
        <v>0</v>
      </c>
      <c r="BB49" s="312" t="b">
        <f t="shared" si="98"/>
        <v>0</v>
      </c>
      <c r="BC49" s="312" t="b">
        <f t="shared" si="99"/>
        <v>0</v>
      </c>
      <c r="BD49" s="312">
        <v>1</v>
      </c>
      <c r="BE49" s="312" t="b">
        <f t="shared" si="100"/>
        <v>1</v>
      </c>
      <c r="BF49" s="312" t="b">
        <f t="shared" si="101"/>
        <v>0</v>
      </c>
      <c r="BG49" s="312" t="b">
        <f t="shared" si="102"/>
        <v>0</v>
      </c>
      <c r="BH49" s="312" t="b">
        <f t="shared" si="103"/>
        <v>1</v>
      </c>
      <c r="BI49" s="312" t="b">
        <f t="shared" si="104"/>
        <v>0</v>
      </c>
      <c r="BJ49" s="312" t="b">
        <f t="shared" si="105"/>
        <v>0</v>
      </c>
      <c r="BK49" s="312" t="b">
        <f t="shared" si="106"/>
        <v>0</v>
      </c>
      <c r="BL49" s="312" t="b">
        <f t="shared" si="60"/>
        <v>0</v>
      </c>
      <c r="BM49" s="312" t="b">
        <f t="shared" si="132"/>
        <v>1</v>
      </c>
      <c r="BN49" s="312" t="b">
        <f t="shared" si="133"/>
        <v>0</v>
      </c>
      <c r="BO49" s="312" t="b">
        <f t="shared" si="107"/>
        <v>0</v>
      </c>
      <c r="BP49" s="312" t="str">
        <f t="shared" si="134"/>
        <v>De vraag moet ingevuld worden.</v>
      </c>
      <c r="BQ49" s="312" t="str">
        <f t="shared" si="108"/>
        <v>Een MUST-vraag moet minimaal antwoord 3 of 4 hebben.</v>
      </c>
      <c r="BR49" s="312" t="str">
        <f t="shared" si="109"/>
        <v/>
      </c>
      <c r="BS49" s="312" t="str">
        <f t="shared" si="110"/>
        <v/>
      </c>
      <c r="BT49" s="312" t="str">
        <f t="shared" si="111"/>
        <v/>
      </c>
      <c r="BU49" s="312" t="str">
        <f t="shared" si="112"/>
        <v/>
      </c>
      <c r="BV49" s="312" t="str">
        <f t="shared" si="61"/>
        <v>De vraag moet ingevuld worden.</v>
      </c>
      <c r="BW49" s="312" t="str">
        <f t="shared" si="113"/>
        <v/>
      </c>
      <c r="BX49" s="312" t="str">
        <f t="shared" si="114"/>
        <v/>
      </c>
      <c r="BY49" s="312" t="str">
        <f t="shared" si="115"/>
        <v/>
      </c>
      <c r="BZ49" s="312" t="b">
        <f t="shared" si="62"/>
        <v>1</v>
      </c>
      <c r="CA49" s="312" t="b">
        <f t="shared" si="116"/>
        <v>0</v>
      </c>
      <c r="CB49" s="312" t="b">
        <f t="shared" si="63"/>
        <v>0</v>
      </c>
      <c r="CC49" s="312" t="str">
        <f t="shared" si="140"/>
        <v>E</v>
      </c>
      <c r="CD49" s="312" t="str">
        <f t="shared" si="140"/>
        <v>M</v>
      </c>
      <c r="CE49" s="312" t="str">
        <f t="shared" si="140"/>
        <v>M</v>
      </c>
      <c r="CF49" s="312" t="b">
        <f t="shared" si="117"/>
        <v>1</v>
      </c>
      <c r="CG49" s="312" t="str">
        <f t="shared" si="118"/>
        <v>Fase 5</v>
      </c>
      <c r="CH49" s="312" t="str">
        <f t="shared" si="135"/>
        <v>Fase 5</v>
      </c>
      <c r="CI49" s="312">
        <v>15</v>
      </c>
      <c r="CK49" s="312" t="str">
        <f>A49</f>
        <v>Fase 5</v>
      </c>
      <c r="CL49" s="312">
        <f t="shared" si="119"/>
        <v>34</v>
      </c>
      <c r="CM49" s="312">
        <f t="shared" si="65"/>
        <v>4</v>
      </c>
      <c r="CN49" s="312">
        <f t="shared" si="66"/>
        <v>3</v>
      </c>
      <c r="CO49" s="312">
        <f t="shared" si="67"/>
        <v>4</v>
      </c>
    </row>
    <row r="50" spans="1:93" ht="15">
      <c r="A50" s="403"/>
      <c r="B50" s="404"/>
      <c r="C50" s="385"/>
      <c r="D50" s="405"/>
      <c r="E50" s="466" t="s">
        <v>18</v>
      </c>
      <c r="F50" s="461" t="s">
        <v>320</v>
      </c>
      <c r="G50" s="462" t="s">
        <v>319</v>
      </c>
      <c r="H50" s="531" t="str">
        <f t="shared" si="42"/>
        <v>E</v>
      </c>
      <c r="I50" s="532" t="str">
        <f t="shared" si="43"/>
        <v>E</v>
      </c>
      <c r="J50" s="523" t="str">
        <f t="shared" si="44"/>
        <v>E</v>
      </c>
      <c r="K50" s="534" t="s">
        <v>215</v>
      </c>
      <c r="L50" s="619"/>
      <c r="M50" s="382"/>
      <c r="N50" s="382"/>
      <c r="O50" s="383"/>
      <c r="P50" s="375"/>
      <c r="Q50" s="384"/>
      <c r="R50" s="375">
        <f t="shared" si="45"/>
        <v>10</v>
      </c>
      <c r="S50" s="384">
        <f t="shared" si="46"/>
        <v>0</v>
      </c>
      <c r="T50" s="674"/>
      <c r="U50" s="676"/>
      <c r="V50" s="375"/>
      <c r="W50" s="384"/>
      <c r="X50" s="367">
        <f t="shared" si="49"/>
        <v>0</v>
      </c>
      <c r="Y50" s="366" t="str">
        <f t="shared" si="50"/>
        <v/>
      </c>
      <c r="Z50" s="368" t="str">
        <f t="shared" si="51"/>
        <v>De vraag moet ingevuld worden.</v>
      </c>
      <c r="AA50" s="369">
        <f t="shared" si="68"/>
        <v>45</v>
      </c>
      <c r="AB50" s="316">
        <f t="shared" si="120"/>
        <v>16</v>
      </c>
      <c r="AC50" s="316" t="str">
        <f t="shared" si="121"/>
        <v>Hoe borgt u kwaliteit en wat is kritisch in het project en proces?</v>
      </c>
      <c r="AD50" s="316" t="str">
        <f t="shared" si="52"/>
        <v>16 Hoe borgt u kwaliteit en wat is kritisch in het project en proces?</v>
      </c>
      <c r="AE50" s="316" t="str">
        <f t="shared" si="122"/>
        <v>b Voorzieningen bewoonde staat</v>
      </c>
      <c r="AF50" s="316" t="str">
        <f t="shared" si="123"/>
        <v>16b</v>
      </c>
      <c r="AG50" s="316">
        <f t="shared" si="137"/>
        <v>0</v>
      </c>
      <c r="AH50" s="316">
        <f t="shared" si="137"/>
        <v>0</v>
      </c>
      <c r="AI50" s="316">
        <f t="shared" si="137"/>
        <v>0</v>
      </c>
      <c r="AJ50" s="316">
        <f t="shared" si="137"/>
        <v>0</v>
      </c>
      <c r="AK50" s="316">
        <f t="shared" si="54"/>
        <v>0</v>
      </c>
      <c r="AL50" s="316" t="e">
        <f t="shared" si="124"/>
        <v>#N/A</v>
      </c>
      <c r="AM50" s="316">
        <f t="shared" si="55"/>
        <v>0</v>
      </c>
      <c r="AN50" s="316">
        <f t="shared" si="56"/>
        <v>10</v>
      </c>
      <c r="AO50" s="312">
        <f t="shared" si="95"/>
        <v>0</v>
      </c>
      <c r="AP50" s="312" t="str">
        <f t="shared" si="96"/>
        <v/>
      </c>
      <c r="AQ50" s="312">
        <f t="shared" si="57"/>
        <v>0</v>
      </c>
      <c r="AR50" s="312" t="b">
        <f t="shared" si="125"/>
        <v>0</v>
      </c>
      <c r="AS50" s="312" t="b">
        <f t="shared" si="126"/>
        <v>0</v>
      </c>
      <c r="AT50" s="312" t="b">
        <f t="shared" si="127"/>
        <v>1</v>
      </c>
      <c r="AU50" s="312" t="b">
        <f t="shared" si="128"/>
        <v>0</v>
      </c>
      <c r="AV50" s="312" t="b">
        <f t="shared" si="129"/>
        <v>1</v>
      </c>
      <c r="AW50" s="312" t="b">
        <f t="shared" si="97"/>
        <v>0</v>
      </c>
      <c r="AX50" s="312">
        <f t="shared" si="130"/>
        <v>10</v>
      </c>
      <c r="AY50" s="312">
        <f t="shared" si="131"/>
        <v>0</v>
      </c>
      <c r="AZ50" s="312" t="b">
        <f t="shared" si="58"/>
        <v>0</v>
      </c>
      <c r="BA50" s="312" t="b">
        <f t="shared" si="59"/>
        <v>0</v>
      </c>
      <c r="BB50" s="312" t="b">
        <f t="shared" si="98"/>
        <v>0</v>
      </c>
      <c r="BC50" s="312" t="b">
        <f t="shared" si="99"/>
        <v>0</v>
      </c>
      <c r="BD50" s="312">
        <v>1</v>
      </c>
      <c r="BE50" s="312" t="b">
        <f t="shared" si="100"/>
        <v>0</v>
      </c>
      <c r="BF50" s="312" t="b">
        <f t="shared" si="101"/>
        <v>0</v>
      </c>
      <c r="BG50" s="312" t="b">
        <f t="shared" si="102"/>
        <v>1</v>
      </c>
      <c r="BH50" s="312" t="b">
        <f t="shared" si="103"/>
        <v>0</v>
      </c>
      <c r="BI50" s="312" t="b">
        <f t="shared" si="104"/>
        <v>0</v>
      </c>
      <c r="BJ50" s="312" t="b">
        <f t="shared" si="105"/>
        <v>1</v>
      </c>
      <c r="BK50" s="312" t="b">
        <f t="shared" si="106"/>
        <v>0</v>
      </c>
      <c r="BL50" s="312" t="b">
        <f t="shared" si="60"/>
        <v>0</v>
      </c>
      <c r="BM50" s="312" t="b">
        <f t="shared" si="132"/>
        <v>1</v>
      </c>
      <c r="BN50" s="312" t="b">
        <f t="shared" si="133"/>
        <v>0</v>
      </c>
      <c r="BO50" s="312" t="b">
        <f t="shared" si="107"/>
        <v>0</v>
      </c>
      <c r="BP50" s="312" t="str">
        <f t="shared" si="134"/>
        <v>De vraag moet ingevuld worden.</v>
      </c>
      <c r="BQ50" s="312" t="str">
        <f t="shared" si="108"/>
        <v/>
      </c>
      <c r="BR50" s="312" t="str">
        <f t="shared" si="109"/>
        <v/>
      </c>
      <c r="BS50" s="312" t="str">
        <f t="shared" si="110"/>
        <v/>
      </c>
      <c r="BT50" s="312" t="str">
        <f t="shared" si="111"/>
        <v/>
      </c>
      <c r="BU50" s="312" t="str">
        <f t="shared" si="112"/>
        <v/>
      </c>
      <c r="BV50" s="312" t="str">
        <f t="shared" si="61"/>
        <v>De vraag moet ingevuld worden.</v>
      </c>
      <c r="BW50" s="312" t="str">
        <f t="shared" si="113"/>
        <v/>
      </c>
      <c r="BX50" s="312" t="str">
        <f t="shared" si="114"/>
        <v/>
      </c>
      <c r="BY50" s="312" t="str">
        <f t="shared" si="115"/>
        <v/>
      </c>
      <c r="BZ50" s="312" t="b">
        <f t="shared" si="62"/>
        <v>1</v>
      </c>
      <c r="CA50" s="312" t="b">
        <f t="shared" si="116"/>
        <v>0</v>
      </c>
      <c r="CB50" s="312" t="b">
        <f t="shared" si="63"/>
        <v>0</v>
      </c>
      <c r="CC50" s="312" t="str">
        <f t="shared" si="140"/>
        <v>E</v>
      </c>
      <c r="CD50" s="312" t="str">
        <f t="shared" si="140"/>
        <v>E</v>
      </c>
      <c r="CE50" s="312" t="str">
        <f t="shared" si="140"/>
        <v>E</v>
      </c>
      <c r="CF50" s="312" t="b">
        <f t="shared" si="117"/>
        <v>0</v>
      </c>
      <c r="CG50" s="312" t="str">
        <f t="shared" si="118"/>
        <v/>
      </c>
      <c r="CH50" s="312" t="str">
        <f t="shared" si="135"/>
        <v>Fase 5</v>
      </c>
      <c r="CI50" s="312">
        <v>10</v>
      </c>
      <c r="CK50" s="312" t="str">
        <f>CK49</f>
        <v>Fase 5</v>
      </c>
      <c r="CL50" s="312">
        <f t="shared" si="119"/>
        <v>1234</v>
      </c>
      <c r="CM50" s="312">
        <f t="shared" si="65"/>
        <v>4</v>
      </c>
      <c r="CN50" s="312">
        <f t="shared" si="66"/>
        <v>1</v>
      </c>
      <c r="CO50" s="312">
        <f t="shared" si="67"/>
        <v>4</v>
      </c>
    </row>
    <row r="51" spans="1:93" ht="15">
      <c r="A51" s="403"/>
      <c r="B51" s="404"/>
      <c r="C51" s="385"/>
      <c r="D51" s="405"/>
      <c r="E51" s="466" t="s">
        <v>19</v>
      </c>
      <c r="F51" s="467" t="s">
        <v>321</v>
      </c>
      <c r="G51" s="468" t="s">
        <v>232</v>
      </c>
      <c r="H51" s="531" t="str">
        <f t="shared" si="42"/>
        <v>E</v>
      </c>
      <c r="I51" s="532" t="str">
        <f t="shared" si="43"/>
        <v>M</v>
      </c>
      <c r="J51" s="523" t="str">
        <f t="shared" si="44"/>
        <v>M</v>
      </c>
      <c r="K51" s="534" t="s">
        <v>215</v>
      </c>
      <c r="L51" s="619"/>
      <c r="M51" s="382"/>
      <c r="N51" s="382"/>
      <c r="O51" s="383"/>
      <c r="P51" s="375"/>
      <c r="Q51" s="384"/>
      <c r="R51" s="375">
        <f t="shared" si="45"/>
        <v>15</v>
      </c>
      <c r="S51" s="384">
        <f t="shared" si="46"/>
        <v>0</v>
      </c>
      <c r="T51" s="674"/>
      <c r="U51" s="676"/>
      <c r="V51" s="375">
        <f t="shared" si="136"/>
        <v>0</v>
      </c>
      <c r="W51" s="384">
        <f>IF(Q51="x",1,0)</f>
        <v>0</v>
      </c>
      <c r="X51" s="367">
        <f t="shared" si="49"/>
        <v>0</v>
      </c>
      <c r="Y51" s="366" t="str">
        <f t="shared" si="50"/>
        <v/>
      </c>
      <c r="Z51" s="368" t="str">
        <f t="shared" si="51"/>
        <v>De vraag moet ingevuld worden.</v>
      </c>
      <c r="AA51" s="369">
        <f t="shared" si="68"/>
        <v>46</v>
      </c>
      <c r="AB51" s="316">
        <f t="shared" si="120"/>
        <v>16</v>
      </c>
      <c r="AC51" s="316" t="str">
        <f t="shared" si="121"/>
        <v>Hoe borgt u kwaliteit en wat is kritisch in het project en proces?</v>
      </c>
      <c r="AD51" s="316" t="str">
        <f t="shared" si="52"/>
        <v>16 Hoe borgt u kwaliteit en wat is kritisch in het project en proces?</v>
      </c>
      <c r="AE51" s="316" t="str">
        <f t="shared" si="122"/>
        <v>c Keuringen</v>
      </c>
      <c r="AF51" s="316" t="str">
        <f t="shared" si="123"/>
        <v>16c</v>
      </c>
      <c r="AG51" s="316">
        <f t="shared" si="137"/>
        <v>0</v>
      </c>
      <c r="AH51" s="316">
        <f t="shared" si="137"/>
        <v>0</v>
      </c>
      <c r="AI51" s="316">
        <f t="shared" si="137"/>
        <v>0</v>
      </c>
      <c r="AJ51" s="316">
        <f t="shared" si="137"/>
        <v>0</v>
      </c>
      <c r="AK51" s="316">
        <f t="shared" si="54"/>
        <v>0</v>
      </c>
      <c r="AL51" s="316" t="e">
        <f t="shared" si="124"/>
        <v>#N/A</v>
      </c>
      <c r="AM51" s="316">
        <f t="shared" si="55"/>
        <v>0</v>
      </c>
      <c r="AN51" s="316">
        <f t="shared" si="56"/>
        <v>15</v>
      </c>
      <c r="AO51" s="312">
        <f t="shared" si="95"/>
        <v>0</v>
      </c>
      <c r="AP51" s="312" t="str">
        <f t="shared" si="96"/>
        <v/>
      </c>
      <c r="AQ51" s="312">
        <f t="shared" si="57"/>
        <v>0</v>
      </c>
      <c r="AR51" s="312" t="b">
        <f t="shared" si="125"/>
        <v>1</v>
      </c>
      <c r="AS51" s="312" t="b">
        <f t="shared" si="126"/>
        <v>0</v>
      </c>
      <c r="AT51" s="312" t="b">
        <f t="shared" si="127"/>
        <v>0</v>
      </c>
      <c r="AU51" s="312" t="b">
        <f t="shared" si="128"/>
        <v>0</v>
      </c>
      <c r="AV51" s="312" t="b">
        <f t="shared" si="129"/>
        <v>1</v>
      </c>
      <c r="AW51" s="312" t="b">
        <f t="shared" si="97"/>
        <v>0</v>
      </c>
      <c r="AX51" s="312">
        <f t="shared" si="130"/>
        <v>15</v>
      </c>
      <c r="AY51" s="312">
        <f t="shared" si="131"/>
        <v>0</v>
      </c>
      <c r="AZ51" s="312" t="b">
        <f t="shared" si="58"/>
        <v>0</v>
      </c>
      <c r="BA51" s="312" t="b">
        <f t="shared" si="59"/>
        <v>0</v>
      </c>
      <c r="BB51" s="312" t="b">
        <f t="shared" si="98"/>
        <v>0</v>
      </c>
      <c r="BC51" s="312" t="b">
        <f t="shared" si="99"/>
        <v>0</v>
      </c>
      <c r="BD51" s="312">
        <v>1</v>
      </c>
      <c r="BE51" s="312" t="b">
        <f t="shared" si="100"/>
        <v>1</v>
      </c>
      <c r="BF51" s="312" t="b">
        <f t="shared" si="101"/>
        <v>0</v>
      </c>
      <c r="BG51" s="312" t="b">
        <f t="shared" si="102"/>
        <v>0</v>
      </c>
      <c r="BH51" s="312" t="b">
        <f t="shared" si="103"/>
        <v>1</v>
      </c>
      <c r="BI51" s="312" t="b">
        <f t="shared" si="104"/>
        <v>0</v>
      </c>
      <c r="BJ51" s="312" t="b">
        <f t="shared" si="105"/>
        <v>0</v>
      </c>
      <c r="BK51" s="312" t="b">
        <f t="shared" si="106"/>
        <v>0</v>
      </c>
      <c r="BL51" s="312" t="b">
        <f t="shared" si="60"/>
        <v>0</v>
      </c>
      <c r="BM51" s="312" t="b">
        <f t="shared" si="132"/>
        <v>1</v>
      </c>
      <c r="BN51" s="312" t="b">
        <f t="shared" si="133"/>
        <v>0</v>
      </c>
      <c r="BO51" s="312" t="b">
        <f t="shared" si="107"/>
        <v>0</v>
      </c>
      <c r="BP51" s="312" t="str">
        <f t="shared" si="134"/>
        <v>De vraag moet ingevuld worden.</v>
      </c>
      <c r="BQ51" s="312" t="str">
        <f t="shared" si="108"/>
        <v>Een MUST-vraag moet minimaal antwoord 3 of 4 hebben.</v>
      </c>
      <c r="BR51" s="312" t="str">
        <f t="shared" si="109"/>
        <v/>
      </c>
      <c r="BS51" s="312" t="str">
        <f t="shared" si="110"/>
        <v/>
      </c>
      <c r="BT51" s="312" t="str">
        <f t="shared" si="111"/>
        <v/>
      </c>
      <c r="BU51" s="312" t="str">
        <f t="shared" si="112"/>
        <v/>
      </c>
      <c r="BV51" s="312" t="str">
        <f t="shared" si="61"/>
        <v>De vraag moet ingevuld worden.</v>
      </c>
      <c r="BW51" s="312" t="str">
        <f t="shared" si="113"/>
        <v/>
      </c>
      <c r="BX51" s="312" t="str">
        <f t="shared" si="114"/>
        <v/>
      </c>
      <c r="BY51" s="312" t="str">
        <f t="shared" si="115"/>
        <v/>
      </c>
      <c r="BZ51" s="312" t="b">
        <f t="shared" si="62"/>
        <v>1</v>
      </c>
      <c r="CA51" s="312" t="b">
        <f t="shared" si="116"/>
        <v>0</v>
      </c>
      <c r="CB51" s="312" t="b">
        <f t="shared" si="63"/>
        <v>0</v>
      </c>
      <c r="CC51" s="312" t="str">
        <f t="shared" si="140"/>
        <v>E</v>
      </c>
      <c r="CD51" s="312" t="str">
        <f t="shared" si="140"/>
        <v>M</v>
      </c>
      <c r="CE51" s="312" t="str">
        <f t="shared" si="140"/>
        <v>M</v>
      </c>
      <c r="CF51" s="312" t="b">
        <f t="shared" si="117"/>
        <v>0</v>
      </c>
      <c r="CG51" s="312">
        <f t="shared" si="118"/>
        <v>0</v>
      </c>
      <c r="CH51" s="312">
        <f t="shared" si="135"/>
        <v>0</v>
      </c>
      <c r="CI51" s="312">
        <v>15</v>
      </c>
      <c r="CK51" s="312" t="str">
        <f>CK50</f>
        <v>Fase 5</v>
      </c>
      <c r="CL51" s="312">
        <f t="shared" si="119"/>
        <v>34</v>
      </c>
      <c r="CM51" s="312">
        <f t="shared" si="65"/>
        <v>4</v>
      </c>
      <c r="CN51" s="312">
        <f t="shared" si="66"/>
        <v>3</v>
      </c>
      <c r="CO51" s="312">
        <f t="shared" si="67"/>
        <v>4</v>
      </c>
    </row>
    <row r="52" spans="1:93" ht="15.75" thickBot="1">
      <c r="A52" s="409"/>
      <c r="B52" s="410"/>
      <c r="C52" s="413"/>
      <c r="D52" s="336"/>
      <c r="E52" s="472" t="s">
        <v>20</v>
      </c>
      <c r="F52" s="470" t="s">
        <v>322</v>
      </c>
      <c r="G52" s="471" t="s">
        <v>232</v>
      </c>
      <c r="H52" s="533" t="str">
        <f t="shared" si="42"/>
        <v>E</v>
      </c>
      <c r="I52" s="524" t="str">
        <f t="shared" si="43"/>
        <v>M</v>
      </c>
      <c r="J52" s="522" t="str">
        <f t="shared" si="44"/>
        <v>M</v>
      </c>
      <c r="K52" s="617" t="s">
        <v>216</v>
      </c>
      <c r="L52" s="618"/>
      <c r="M52" s="392"/>
      <c r="N52" s="392"/>
      <c r="O52" s="393"/>
      <c r="P52" s="394"/>
      <c r="Q52" s="395"/>
      <c r="R52" s="394">
        <f t="shared" si="45"/>
        <v>0</v>
      </c>
      <c r="S52" s="395">
        <f t="shared" si="46"/>
        <v>10</v>
      </c>
      <c r="T52" s="679"/>
      <c r="U52" s="680"/>
      <c r="V52" s="394">
        <f t="shared" si="136"/>
        <v>0</v>
      </c>
      <c r="W52" s="395">
        <f aca="true" t="shared" si="143" ref="W52:W56">IF(Q52="x",1,0)</f>
        <v>0</v>
      </c>
      <c r="X52" s="367" t="str">
        <f t="shared" si="49"/>
        <v/>
      </c>
      <c r="Y52" s="366">
        <f t="shared" si="50"/>
        <v>0</v>
      </c>
      <c r="Z52" s="368" t="str">
        <f t="shared" si="51"/>
        <v>De vraag moet ingevuld worden.</v>
      </c>
      <c r="AA52" s="369">
        <f t="shared" si="68"/>
        <v>47</v>
      </c>
      <c r="AB52" s="316">
        <f t="shared" si="120"/>
        <v>16</v>
      </c>
      <c r="AC52" s="316" t="str">
        <f t="shared" si="121"/>
        <v>Hoe borgt u kwaliteit en wat is kritisch in het project en proces?</v>
      </c>
      <c r="AD52" s="316" t="str">
        <f t="shared" si="52"/>
        <v>16 Hoe borgt u kwaliteit en wat is kritisch in het project en proces?</v>
      </c>
      <c r="AE52" s="316" t="str">
        <f t="shared" si="122"/>
        <v>d Kwaliteitscoördinator/ inspecteur</v>
      </c>
      <c r="AF52" s="316" t="str">
        <f t="shared" si="123"/>
        <v>16d</v>
      </c>
      <c r="AG52" s="316">
        <f t="shared" si="137"/>
        <v>0</v>
      </c>
      <c r="AH52" s="316">
        <f t="shared" si="137"/>
        <v>0</v>
      </c>
      <c r="AI52" s="316">
        <f t="shared" si="137"/>
        <v>0</v>
      </c>
      <c r="AJ52" s="316">
        <f t="shared" si="137"/>
        <v>0</v>
      </c>
      <c r="AK52" s="316">
        <f t="shared" si="54"/>
        <v>0</v>
      </c>
      <c r="AL52" s="316" t="e">
        <f t="shared" si="124"/>
        <v>#N/A</v>
      </c>
      <c r="AM52" s="316">
        <f t="shared" si="55"/>
        <v>0</v>
      </c>
      <c r="AN52" s="316">
        <f t="shared" si="56"/>
        <v>0</v>
      </c>
      <c r="AO52" s="312" t="str">
        <f t="shared" si="95"/>
        <v/>
      </c>
      <c r="AP52" s="312">
        <f t="shared" si="96"/>
        <v>0</v>
      </c>
      <c r="AQ52" s="312">
        <f t="shared" si="57"/>
        <v>0</v>
      </c>
      <c r="AR52" s="312" t="b">
        <f t="shared" si="125"/>
        <v>1</v>
      </c>
      <c r="AS52" s="312" t="b">
        <f t="shared" si="126"/>
        <v>0</v>
      </c>
      <c r="AT52" s="312" t="b">
        <f t="shared" si="127"/>
        <v>0</v>
      </c>
      <c r="AU52" s="312" t="b">
        <f t="shared" si="128"/>
        <v>0</v>
      </c>
      <c r="AV52" s="312" t="b">
        <f t="shared" si="129"/>
        <v>1</v>
      </c>
      <c r="AW52" s="312" t="b">
        <f t="shared" si="97"/>
        <v>0</v>
      </c>
      <c r="AX52" s="312">
        <f t="shared" si="130"/>
        <v>0</v>
      </c>
      <c r="AY52" s="312">
        <f t="shared" si="131"/>
        <v>10</v>
      </c>
      <c r="AZ52" s="312" t="b">
        <f t="shared" si="58"/>
        <v>0</v>
      </c>
      <c r="BA52" s="312" t="b">
        <f t="shared" si="59"/>
        <v>0</v>
      </c>
      <c r="BB52" s="312" t="b">
        <f t="shared" si="98"/>
        <v>0</v>
      </c>
      <c r="BC52" s="312" t="b">
        <f t="shared" si="99"/>
        <v>0</v>
      </c>
      <c r="BD52" s="312">
        <v>1</v>
      </c>
      <c r="BE52" s="312" t="b">
        <f t="shared" si="100"/>
        <v>1</v>
      </c>
      <c r="BF52" s="312" t="b">
        <f t="shared" si="101"/>
        <v>0</v>
      </c>
      <c r="BG52" s="312" t="b">
        <f t="shared" si="102"/>
        <v>0</v>
      </c>
      <c r="BH52" s="312" t="b">
        <f t="shared" si="103"/>
        <v>1</v>
      </c>
      <c r="BI52" s="312" t="b">
        <f t="shared" si="104"/>
        <v>0</v>
      </c>
      <c r="BJ52" s="312" t="b">
        <f t="shared" si="105"/>
        <v>0</v>
      </c>
      <c r="BK52" s="312" t="b">
        <f t="shared" si="106"/>
        <v>0</v>
      </c>
      <c r="BL52" s="312" t="b">
        <f t="shared" si="60"/>
        <v>0</v>
      </c>
      <c r="BM52" s="312" t="b">
        <f t="shared" si="132"/>
        <v>0</v>
      </c>
      <c r="BN52" s="312" t="b">
        <f t="shared" si="133"/>
        <v>1</v>
      </c>
      <c r="BO52" s="312" t="b">
        <f t="shared" si="107"/>
        <v>0</v>
      </c>
      <c r="BP52" s="312" t="str">
        <f t="shared" si="134"/>
        <v>De vraag moet ingevuld worden.</v>
      </c>
      <c r="BQ52" s="312" t="str">
        <f t="shared" si="108"/>
        <v>Een MUST-vraag moet minimaal antwoord 3 of 4 hebben.</v>
      </c>
      <c r="BR52" s="312" t="str">
        <f t="shared" si="109"/>
        <v/>
      </c>
      <c r="BS52" s="312" t="str">
        <f t="shared" si="110"/>
        <v/>
      </c>
      <c r="BT52" s="312" t="str">
        <f t="shared" si="111"/>
        <v/>
      </c>
      <c r="BU52" s="312" t="str">
        <f t="shared" si="112"/>
        <v/>
      </c>
      <c r="BV52" s="312" t="str">
        <f t="shared" si="61"/>
        <v>De vraag moet ingevuld worden.</v>
      </c>
      <c r="BW52" s="312" t="str">
        <f t="shared" si="113"/>
        <v/>
      </c>
      <c r="BX52" s="312" t="str">
        <f t="shared" si="114"/>
        <v/>
      </c>
      <c r="BY52" s="312" t="str">
        <f t="shared" si="115"/>
        <v/>
      </c>
      <c r="BZ52" s="312" t="b">
        <f t="shared" si="62"/>
        <v>1</v>
      </c>
      <c r="CA52" s="312" t="b">
        <f t="shared" si="116"/>
        <v>0</v>
      </c>
      <c r="CB52" s="312" t="b">
        <f t="shared" si="63"/>
        <v>0</v>
      </c>
      <c r="CC52" s="312" t="str">
        <f t="shared" si="140"/>
        <v>E</v>
      </c>
      <c r="CD52" s="312" t="str">
        <f t="shared" si="140"/>
        <v>M</v>
      </c>
      <c r="CE52" s="312" t="str">
        <f t="shared" si="140"/>
        <v>M</v>
      </c>
      <c r="CF52" s="312" t="b">
        <f t="shared" si="117"/>
        <v>0</v>
      </c>
      <c r="CG52" s="312">
        <f t="shared" si="118"/>
        <v>0</v>
      </c>
      <c r="CH52" s="312">
        <f t="shared" si="135"/>
        <v>0</v>
      </c>
      <c r="CJ52" s="312">
        <v>10</v>
      </c>
      <c r="CK52" s="312" t="str">
        <f>CK51</f>
        <v>Fase 5</v>
      </c>
      <c r="CL52" s="312">
        <f t="shared" si="119"/>
        <v>34</v>
      </c>
      <c r="CM52" s="312">
        <f t="shared" si="65"/>
        <v>4</v>
      </c>
      <c r="CN52" s="312">
        <f t="shared" si="66"/>
        <v>3</v>
      </c>
      <c r="CO52" s="312">
        <f t="shared" si="67"/>
        <v>4</v>
      </c>
    </row>
    <row r="53" spans="1:93" ht="30">
      <c r="A53" s="420" t="s">
        <v>323</v>
      </c>
      <c r="B53" s="421" t="s">
        <v>324</v>
      </c>
      <c r="C53" s="381">
        <v>17</v>
      </c>
      <c r="D53" s="422" t="s">
        <v>630</v>
      </c>
      <c r="E53" s="466" t="s">
        <v>17</v>
      </c>
      <c r="F53" s="467" t="s">
        <v>324</v>
      </c>
      <c r="G53" s="468" t="s">
        <v>326</v>
      </c>
      <c r="H53" s="531" t="str">
        <f t="shared" si="42"/>
        <v>E</v>
      </c>
      <c r="I53" s="532" t="str">
        <f t="shared" si="43"/>
        <v>M</v>
      </c>
      <c r="J53" s="523" t="str">
        <f t="shared" si="44"/>
        <v>M</v>
      </c>
      <c r="K53" s="534" t="s">
        <v>215</v>
      </c>
      <c r="L53" s="619"/>
      <c r="M53" s="363"/>
      <c r="N53" s="363"/>
      <c r="O53" s="364"/>
      <c r="P53" s="365"/>
      <c r="Q53" s="366"/>
      <c r="R53" s="365">
        <f t="shared" si="45"/>
        <v>20</v>
      </c>
      <c r="S53" s="366">
        <f t="shared" si="46"/>
        <v>0</v>
      </c>
      <c r="T53" s="673">
        <f>SUMIF($AV53:$AV54,TRUE,R53:R54)</f>
        <v>20</v>
      </c>
      <c r="U53" s="675">
        <f>SUMIF($AV53:$AV54,TRUE,S53:S54)</f>
        <v>10</v>
      </c>
      <c r="V53" s="365">
        <f t="shared" si="136"/>
        <v>0</v>
      </c>
      <c r="W53" s="366">
        <f t="shared" si="143"/>
        <v>0</v>
      </c>
      <c r="X53" s="367">
        <f t="shared" si="49"/>
        <v>0</v>
      </c>
      <c r="Y53" s="366" t="str">
        <f t="shared" si="50"/>
        <v/>
      </c>
      <c r="Z53" s="368" t="str">
        <f t="shared" si="51"/>
        <v>De vraag moet ingevuld worden.</v>
      </c>
      <c r="AA53" s="369">
        <f t="shared" si="68"/>
        <v>48</v>
      </c>
      <c r="AB53" s="316">
        <f t="shared" si="120"/>
        <v>17</v>
      </c>
      <c r="AC53" s="316" t="str">
        <f t="shared" si="121"/>
        <v>Welke processtappen onderneemt u om een project op te leveren?</v>
      </c>
      <c r="AD53" s="316" t="str">
        <f t="shared" si="52"/>
        <v>17 Welke processtappen onderneemt u om een project op te leveren?</v>
      </c>
      <c r="AE53" s="316" t="str">
        <f t="shared" si="122"/>
        <v>a Oplevering</v>
      </c>
      <c r="AF53" s="316" t="str">
        <f t="shared" si="123"/>
        <v>17a</v>
      </c>
      <c r="AG53" s="316">
        <f t="shared" si="137"/>
        <v>0</v>
      </c>
      <c r="AH53" s="316">
        <f t="shared" si="137"/>
        <v>0</v>
      </c>
      <c r="AI53" s="316">
        <f t="shared" si="137"/>
        <v>0</v>
      </c>
      <c r="AJ53" s="316">
        <f t="shared" si="137"/>
        <v>0</v>
      </c>
      <c r="AK53" s="316">
        <f t="shared" si="54"/>
        <v>0</v>
      </c>
      <c r="AL53" s="316" t="e">
        <f t="shared" si="124"/>
        <v>#N/A</v>
      </c>
      <c r="AM53" s="316">
        <f t="shared" si="55"/>
        <v>0</v>
      </c>
      <c r="AN53" s="316">
        <f t="shared" si="56"/>
        <v>20</v>
      </c>
      <c r="AO53" s="312">
        <f t="shared" si="95"/>
        <v>0</v>
      </c>
      <c r="AP53" s="312" t="str">
        <f t="shared" si="96"/>
        <v/>
      </c>
      <c r="AQ53" s="312">
        <f t="shared" si="57"/>
        <v>0</v>
      </c>
      <c r="AR53" s="312" t="b">
        <f t="shared" si="125"/>
        <v>1</v>
      </c>
      <c r="AS53" s="312" t="b">
        <f t="shared" si="126"/>
        <v>0</v>
      </c>
      <c r="AT53" s="312" t="b">
        <f t="shared" si="127"/>
        <v>0</v>
      </c>
      <c r="AU53" s="312" t="b">
        <f t="shared" si="128"/>
        <v>0</v>
      </c>
      <c r="AV53" s="312" t="b">
        <f t="shared" si="129"/>
        <v>1</v>
      </c>
      <c r="AW53" s="312" t="b">
        <f t="shared" si="97"/>
        <v>0</v>
      </c>
      <c r="AX53" s="312">
        <f t="shared" si="130"/>
        <v>20</v>
      </c>
      <c r="AY53" s="312">
        <f t="shared" si="131"/>
        <v>0</v>
      </c>
      <c r="AZ53" s="312" t="b">
        <f t="shared" si="58"/>
        <v>0</v>
      </c>
      <c r="BA53" s="312" t="b">
        <f t="shared" si="59"/>
        <v>0</v>
      </c>
      <c r="BB53" s="312" t="b">
        <f t="shared" si="98"/>
        <v>0</v>
      </c>
      <c r="BC53" s="312" t="b">
        <f t="shared" si="99"/>
        <v>0</v>
      </c>
      <c r="BD53" s="312">
        <v>1</v>
      </c>
      <c r="BE53" s="312" t="b">
        <f t="shared" si="100"/>
        <v>1</v>
      </c>
      <c r="BF53" s="312" t="b">
        <f t="shared" si="101"/>
        <v>0</v>
      </c>
      <c r="BG53" s="312" t="b">
        <f t="shared" si="102"/>
        <v>0</v>
      </c>
      <c r="BH53" s="312" t="b">
        <f t="shared" si="103"/>
        <v>1</v>
      </c>
      <c r="BI53" s="312" t="b">
        <f t="shared" si="104"/>
        <v>0</v>
      </c>
      <c r="BJ53" s="312" t="b">
        <f t="shared" si="105"/>
        <v>0</v>
      </c>
      <c r="BK53" s="312" t="b">
        <f t="shared" si="106"/>
        <v>0</v>
      </c>
      <c r="BL53" s="312" t="b">
        <f t="shared" si="60"/>
        <v>0</v>
      </c>
      <c r="BM53" s="312" t="b">
        <f t="shared" si="132"/>
        <v>1</v>
      </c>
      <c r="BN53" s="312" t="b">
        <f t="shared" si="133"/>
        <v>0</v>
      </c>
      <c r="BO53" s="312" t="b">
        <f t="shared" si="107"/>
        <v>0</v>
      </c>
      <c r="BP53" s="312" t="str">
        <f t="shared" si="134"/>
        <v>De vraag moet ingevuld worden.</v>
      </c>
      <c r="BQ53" s="312" t="str">
        <f t="shared" si="108"/>
        <v>Een MUST-vraag moet minimaal antwoord 3 of 4 hebben.</v>
      </c>
      <c r="BR53" s="312" t="str">
        <f t="shared" si="109"/>
        <v/>
      </c>
      <c r="BS53" s="312" t="str">
        <f t="shared" si="110"/>
        <v/>
      </c>
      <c r="BT53" s="312" t="str">
        <f t="shared" si="111"/>
        <v/>
      </c>
      <c r="BU53" s="312" t="str">
        <f t="shared" si="112"/>
        <v/>
      </c>
      <c r="BV53" s="312" t="str">
        <f t="shared" si="61"/>
        <v>De vraag moet ingevuld worden.</v>
      </c>
      <c r="BW53" s="312" t="str">
        <f t="shared" si="113"/>
        <v/>
      </c>
      <c r="BX53" s="312" t="str">
        <f t="shared" si="114"/>
        <v/>
      </c>
      <c r="BY53" s="312" t="str">
        <f t="shared" si="115"/>
        <v/>
      </c>
      <c r="BZ53" s="312" t="b">
        <f t="shared" si="62"/>
        <v>1</v>
      </c>
      <c r="CA53" s="312" t="b">
        <f t="shared" si="116"/>
        <v>0</v>
      </c>
      <c r="CB53" s="312" t="b">
        <f t="shared" si="63"/>
        <v>0</v>
      </c>
      <c r="CC53" s="312" t="str">
        <f t="shared" si="140"/>
        <v>E</v>
      </c>
      <c r="CD53" s="312" t="str">
        <f t="shared" si="140"/>
        <v>M</v>
      </c>
      <c r="CE53" s="312" t="str">
        <f t="shared" si="140"/>
        <v>M</v>
      </c>
      <c r="CF53" s="312" t="b">
        <f t="shared" si="117"/>
        <v>1</v>
      </c>
      <c r="CG53" s="312" t="str">
        <f t="shared" si="118"/>
        <v>Fase 6</v>
      </c>
      <c r="CH53" s="312" t="str">
        <f t="shared" si="135"/>
        <v>Fase 6</v>
      </c>
      <c r="CI53" s="312">
        <v>20</v>
      </c>
      <c r="CK53" s="312" t="str">
        <f>A53</f>
        <v>Fase 6</v>
      </c>
      <c r="CL53" s="312">
        <f t="shared" si="119"/>
        <v>34</v>
      </c>
      <c r="CM53" s="312">
        <f t="shared" si="65"/>
        <v>4</v>
      </c>
      <c r="CN53" s="312">
        <f t="shared" si="66"/>
        <v>3</v>
      </c>
      <c r="CO53" s="312">
        <f t="shared" si="67"/>
        <v>4</v>
      </c>
    </row>
    <row r="54" spans="1:93" ht="15.75" thickBot="1">
      <c r="A54" s="409"/>
      <c r="B54" s="410"/>
      <c r="C54" s="336"/>
      <c r="D54" s="336"/>
      <c r="E54" s="472" t="s">
        <v>18</v>
      </c>
      <c r="F54" s="470" t="s">
        <v>327</v>
      </c>
      <c r="G54" s="471" t="s">
        <v>232</v>
      </c>
      <c r="H54" s="527" t="str">
        <f t="shared" si="42"/>
        <v>E</v>
      </c>
      <c r="I54" s="606" t="str">
        <f t="shared" si="43"/>
        <v>(O)</v>
      </c>
      <c r="J54" s="529" t="str">
        <f t="shared" si="44"/>
        <v>G</v>
      </c>
      <c r="K54" s="623" t="s">
        <v>216</v>
      </c>
      <c r="L54" s="620"/>
      <c r="M54" s="386"/>
      <c r="N54" s="386"/>
      <c r="O54" s="387"/>
      <c r="P54" s="388"/>
      <c r="Q54" s="389"/>
      <c r="R54" s="388">
        <f t="shared" si="45"/>
        <v>0</v>
      </c>
      <c r="S54" s="389">
        <f t="shared" si="46"/>
        <v>10</v>
      </c>
      <c r="T54" s="679"/>
      <c r="U54" s="680"/>
      <c r="V54" s="388">
        <f t="shared" si="136"/>
        <v>0</v>
      </c>
      <c r="W54" s="389">
        <f t="shared" si="143"/>
        <v>0</v>
      </c>
      <c r="X54" s="367" t="str">
        <f t="shared" si="49"/>
        <v/>
      </c>
      <c r="Y54" s="366">
        <f t="shared" si="50"/>
        <v>0</v>
      </c>
      <c r="Z54" s="368" t="str">
        <f t="shared" si="51"/>
        <v>De vraag moet ingevuld worden.</v>
      </c>
      <c r="AA54" s="369">
        <f t="shared" si="68"/>
        <v>49</v>
      </c>
      <c r="AB54" s="316">
        <f t="shared" si="120"/>
        <v>17</v>
      </c>
      <c r="AC54" s="316" t="str">
        <f t="shared" si="121"/>
        <v>Welke processtappen onderneemt u om een project op te leveren?</v>
      </c>
      <c r="AD54" s="316" t="str">
        <f t="shared" si="52"/>
        <v>17 Welke processtappen onderneemt u om een project op te leveren?</v>
      </c>
      <c r="AE54" s="316" t="str">
        <f t="shared" si="122"/>
        <v>b Protocollen</v>
      </c>
      <c r="AF54" s="316" t="str">
        <f t="shared" si="123"/>
        <v>17b</v>
      </c>
      <c r="AG54" s="316">
        <f t="shared" si="137"/>
        <v>0</v>
      </c>
      <c r="AH54" s="316">
        <f t="shared" si="137"/>
        <v>0</v>
      </c>
      <c r="AI54" s="316">
        <f t="shared" si="137"/>
        <v>0</v>
      </c>
      <c r="AJ54" s="316">
        <f t="shared" si="137"/>
        <v>0</v>
      </c>
      <c r="AK54" s="316">
        <f t="shared" si="54"/>
        <v>0</v>
      </c>
      <c r="AL54" s="316" t="e">
        <f t="shared" si="124"/>
        <v>#N/A</v>
      </c>
      <c r="AM54" s="316">
        <f t="shared" si="55"/>
        <v>0</v>
      </c>
      <c r="AN54" s="316">
        <f t="shared" si="56"/>
        <v>0</v>
      </c>
      <c r="AO54" s="312" t="str">
        <f t="shared" si="95"/>
        <v/>
      </c>
      <c r="AP54" s="312">
        <f t="shared" si="96"/>
        <v>0</v>
      </c>
      <c r="AQ54" s="312">
        <f t="shared" si="57"/>
        <v>0</v>
      </c>
      <c r="AR54" s="312" t="b">
        <f t="shared" si="125"/>
        <v>0</v>
      </c>
      <c r="AS54" s="312" t="b">
        <f t="shared" si="126"/>
        <v>0</v>
      </c>
      <c r="AT54" s="312" t="b">
        <f t="shared" si="127"/>
        <v>0</v>
      </c>
      <c r="AU54" s="312" t="b">
        <f t="shared" si="128"/>
        <v>0</v>
      </c>
      <c r="AV54" s="312" t="b">
        <f t="shared" si="129"/>
        <v>1</v>
      </c>
      <c r="AW54" s="312" t="b">
        <f t="shared" si="97"/>
        <v>0</v>
      </c>
      <c r="AX54" s="312">
        <f t="shared" si="130"/>
        <v>0</v>
      </c>
      <c r="AY54" s="312">
        <f t="shared" si="131"/>
        <v>10</v>
      </c>
      <c r="AZ54" s="312" t="b">
        <f t="shared" si="58"/>
        <v>0</v>
      </c>
      <c r="BA54" s="312" t="b">
        <f t="shared" si="59"/>
        <v>0</v>
      </c>
      <c r="BB54" s="312" t="b">
        <f t="shared" si="98"/>
        <v>0</v>
      </c>
      <c r="BC54" s="312" t="b">
        <f t="shared" si="99"/>
        <v>0</v>
      </c>
      <c r="BD54" s="312">
        <v>1</v>
      </c>
      <c r="BE54" s="312" t="b">
        <f t="shared" si="100"/>
        <v>0</v>
      </c>
      <c r="BF54" s="312" t="b">
        <f t="shared" si="101"/>
        <v>0</v>
      </c>
      <c r="BG54" s="312" t="b">
        <f t="shared" si="102"/>
        <v>0</v>
      </c>
      <c r="BH54" s="312" t="b">
        <f t="shared" si="103"/>
        <v>0</v>
      </c>
      <c r="BI54" s="312" t="b">
        <f t="shared" si="104"/>
        <v>0</v>
      </c>
      <c r="BJ54" s="312" t="b">
        <f t="shared" si="105"/>
        <v>0</v>
      </c>
      <c r="BK54" s="312" t="b">
        <f t="shared" si="106"/>
        <v>0</v>
      </c>
      <c r="BL54" s="312" t="b">
        <f t="shared" si="60"/>
        <v>0</v>
      </c>
      <c r="BM54" s="312" t="b">
        <f t="shared" si="132"/>
        <v>0</v>
      </c>
      <c r="BN54" s="312" t="b">
        <f t="shared" si="133"/>
        <v>1</v>
      </c>
      <c r="BO54" s="312" t="b">
        <f t="shared" si="107"/>
        <v>0</v>
      </c>
      <c r="BP54" s="312" t="str">
        <f t="shared" si="134"/>
        <v>De vraag moet ingevuld worden.</v>
      </c>
      <c r="BQ54" s="312" t="str">
        <f t="shared" si="108"/>
        <v/>
      </c>
      <c r="BR54" s="312" t="str">
        <f t="shared" si="109"/>
        <v/>
      </c>
      <c r="BS54" s="312" t="str">
        <f t="shared" si="110"/>
        <v/>
      </c>
      <c r="BT54" s="312" t="str">
        <f t="shared" si="111"/>
        <v/>
      </c>
      <c r="BU54" s="312">
        <f t="shared" si="112"/>
        <v>0</v>
      </c>
      <c r="BV54" s="312" t="str">
        <f t="shared" si="61"/>
        <v>De vraag moet ingevuld worden.</v>
      </c>
      <c r="BW54" s="312" t="str">
        <f t="shared" si="113"/>
        <v/>
      </c>
      <c r="BX54" s="312" t="str">
        <f t="shared" si="114"/>
        <v>G</v>
      </c>
      <c r="BY54" s="312">
        <f t="shared" si="115"/>
        <v>234</v>
      </c>
      <c r="BZ54" s="312" t="b">
        <f t="shared" si="62"/>
        <v>0</v>
      </c>
      <c r="CA54" s="312" t="b">
        <f t="shared" si="116"/>
        <v>1</v>
      </c>
      <c r="CB54" s="312" t="b">
        <f t="shared" si="63"/>
        <v>0</v>
      </c>
      <c r="CC54" s="312" t="str">
        <f t="shared" si="140"/>
        <v>E</v>
      </c>
      <c r="CD54" s="312" t="str">
        <f t="shared" si="140"/>
        <v>(O)</v>
      </c>
      <c r="CE54" s="312" t="str">
        <f t="shared" si="140"/>
        <v>G</v>
      </c>
      <c r="CF54" s="312" t="b">
        <f t="shared" si="117"/>
        <v>0</v>
      </c>
      <c r="CG54" s="312" t="str">
        <f t="shared" si="118"/>
        <v/>
      </c>
      <c r="CH54" s="312" t="str">
        <f t="shared" si="135"/>
        <v>Fase 6</v>
      </c>
      <c r="CJ54" s="312">
        <v>10</v>
      </c>
      <c r="CK54" s="312" t="str">
        <f>CK53</f>
        <v>Fase 6</v>
      </c>
      <c r="CL54" s="312">
        <f t="shared" si="119"/>
        <v>1234</v>
      </c>
      <c r="CM54" s="312">
        <f t="shared" si="65"/>
        <v>4</v>
      </c>
      <c r="CN54" s="312">
        <f t="shared" si="66"/>
        <v>2</v>
      </c>
      <c r="CO54" s="312">
        <f t="shared" si="67"/>
        <v>4</v>
      </c>
    </row>
    <row r="55" spans="1:93" ht="30">
      <c r="A55" s="400" t="s">
        <v>328</v>
      </c>
      <c r="B55" s="401" t="s">
        <v>329</v>
      </c>
      <c r="C55" s="361">
        <v>18</v>
      </c>
      <c r="D55" s="361" t="s">
        <v>627</v>
      </c>
      <c r="E55" s="481" t="s">
        <v>17</v>
      </c>
      <c r="F55" s="482" t="s">
        <v>331</v>
      </c>
      <c r="G55" s="483" t="s">
        <v>332</v>
      </c>
      <c r="H55" s="520" t="str">
        <f t="shared" si="42"/>
        <v>E</v>
      </c>
      <c r="I55" s="526" t="str">
        <f t="shared" si="43"/>
        <v>E</v>
      </c>
      <c r="J55" s="517" t="str">
        <f t="shared" si="44"/>
        <v>G</v>
      </c>
      <c r="K55" s="613" t="s">
        <v>215</v>
      </c>
      <c r="L55" s="614"/>
      <c r="M55" s="377"/>
      <c r="N55" s="377"/>
      <c r="O55" s="378"/>
      <c r="P55" s="379"/>
      <c r="Q55" s="380"/>
      <c r="R55" s="379">
        <f t="shared" si="45"/>
        <v>10</v>
      </c>
      <c r="S55" s="380">
        <f t="shared" si="46"/>
        <v>0</v>
      </c>
      <c r="T55" s="673">
        <f>SUMIF($AV55:$AV56,TRUE,R55:R56)</f>
        <v>20</v>
      </c>
      <c r="U55" s="675">
        <f>SUMIF($AV55:$AV56,TRUE,S55:S56)</f>
        <v>0</v>
      </c>
      <c r="V55" s="379">
        <f t="shared" si="136"/>
        <v>0</v>
      </c>
      <c r="W55" s="380">
        <f t="shared" si="143"/>
        <v>0</v>
      </c>
      <c r="X55" s="367">
        <f t="shared" si="49"/>
        <v>0</v>
      </c>
      <c r="Y55" s="366" t="str">
        <f t="shared" si="50"/>
        <v/>
      </c>
      <c r="Z55" s="368" t="str">
        <f t="shared" si="51"/>
        <v>De vraag moet ingevuld worden.</v>
      </c>
      <c r="AA55" s="369">
        <f t="shared" si="68"/>
        <v>50</v>
      </c>
      <c r="AB55" s="316">
        <f t="shared" si="120"/>
        <v>18</v>
      </c>
      <c r="AC55" s="316" t="str">
        <f t="shared" si="121"/>
        <v>Welke processtappen onderneemt u tijdens de exploitatieperiode?</v>
      </c>
      <c r="AD55" s="316" t="str">
        <f t="shared" si="52"/>
        <v>18 Welke processtappen onderneemt u tijdens de exploitatieperiode?</v>
      </c>
      <c r="AE55" s="316" t="str">
        <f t="shared" si="122"/>
        <v>a Periodiek aanpassen en optimaliseren onderhoudsscenario</v>
      </c>
      <c r="AF55" s="316" t="str">
        <f t="shared" si="123"/>
        <v>18a</v>
      </c>
      <c r="AG55" s="316">
        <f t="shared" si="137"/>
        <v>0</v>
      </c>
      <c r="AH55" s="316">
        <f t="shared" si="137"/>
        <v>0</v>
      </c>
      <c r="AI55" s="316">
        <f t="shared" si="137"/>
        <v>0</v>
      </c>
      <c r="AJ55" s="316">
        <f t="shared" si="137"/>
        <v>0</v>
      </c>
      <c r="AK55" s="316">
        <f t="shared" si="54"/>
        <v>0</v>
      </c>
      <c r="AL55" s="316" t="e">
        <f t="shared" si="124"/>
        <v>#N/A</v>
      </c>
      <c r="AM55" s="316">
        <f t="shared" si="55"/>
        <v>0</v>
      </c>
      <c r="AN55" s="316">
        <f t="shared" si="56"/>
        <v>10</v>
      </c>
      <c r="AO55" s="312">
        <f t="shared" si="95"/>
        <v>0</v>
      </c>
      <c r="AP55" s="312" t="str">
        <f t="shared" si="96"/>
        <v/>
      </c>
      <c r="AQ55" s="312">
        <f t="shared" si="57"/>
        <v>0</v>
      </c>
      <c r="AR55" s="312" t="b">
        <f t="shared" si="125"/>
        <v>0</v>
      </c>
      <c r="AS55" s="312" t="b">
        <f t="shared" si="126"/>
        <v>0</v>
      </c>
      <c r="AT55" s="312" t="b">
        <f t="shared" si="127"/>
        <v>1</v>
      </c>
      <c r="AU55" s="312" t="b">
        <f t="shared" si="128"/>
        <v>0</v>
      </c>
      <c r="AV55" s="312" t="b">
        <f t="shared" si="129"/>
        <v>1</v>
      </c>
      <c r="AW55" s="312" t="b">
        <f t="shared" si="97"/>
        <v>0</v>
      </c>
      <c r="AX55" s="312">
        <f t="shared" si="130"/>
        <v>10</v>
      </c>
      <c r="AY55" s="312">
        <f t="shared" si="131"/>
        <v>0</v>
      </c>
      <c r="AZ55" s="312" t="b">
        <f t="shared" si="58"/>
        <v>0</v>
      </c>
      <c r="BA55" s="312" t="b">
        <f t="shared" si="59"/>
        <v>0</v>
      </c>
      <c r="BB55" s="312" t="b">
        <f t="shared" si="98"/>
        <v>0</v>
      </c>
      <c r="BC55" s="312" t="b">
        <f t="shared" si="99"/>
        <v>0</v>
      </c>
      <c r="BD55" s="312">
        <v>1</v>
      </c>
      <c r="BE55" s="312" t="b">
        <f t="shared" si="100"/>
        <v>0</v>
      </c>
      <c r="BF55" s="312" t="b">
        <f t="shared" si="101"/>
        <v>0</v>
      </c>
      <c r="BG55" s="312" t="b">
        <f t="shared" si="102"/>
        <v>1</v>
      </c>
      <c r="BH55" s="312" t="b">
        <f t="shared" si="103"/>
        <v>0</v>
      </c>
      <c r="BI55" s="312" t="b">
        <f t="shared" si="104"/>
        <v>0</v>
      </c>
      <c r="BJ55" s="312" t="b">
        <f t="shared" si="105"/>
        <v>1</v>
      </c>
      <c r="BK55" s="312" t="b">
        <f t="shared" si="106"/>
        <v>0</v>
      </c>
      <c r="BL55" s="312" t="b">
        <f t="shared" si="60"/>
        <v>0</v>
      </c>
      <c r="BM55" s="312" t="b">
        <f t="shared" si="132"/>
        <v>1</v>
      </c>
      <c r="BN55" s="312" t="b">
        <f t="shared" si="133"/>
        <v>0</v>
      </c>
      <c r="BO55" s="312" t="b">
        <f t="shared" si="107"/>
        <v>0</v>
      </c>
      <c r="BP55" s="312" t="str">
        <f t="shared" si="134"/>
        <v>De vraag moet ingevuld worden.</v>
      </c>
      <c r="BQ55" s="312" t="str">
        <f t="shared" si="108"/>
        <v/>
      </c>
      <c r="BR55" s="312" t="str">
        <f t="shared" si="109"/>
        <v/>
      </c>
      <c r="BS55" s="312" t="str">
        <f t="shared" si="110"/>
        <v/>
      </c>
      <c r="BT55" s="312" t="str">
        <f t="shared" si="111"/>
        <v/>
      </c>
      <c r="BU55" s="312">
        <f t="shared" si="112"/>
        <v>0</v>
      </c>
      <c r="BV55" s="312" t="str">
        <f t="shared" si="61"/>
        <v>De vraag moet ingevuld worden.</v>
      </c>
      <c r="BW55" s="312" t="str">
        <f t="shared" si="113"/>
        <v/>
      </c>
      <c r="BX55" s="312" t="str">
        <f t="shared" si="114"/>
        <v>G</v>
      </c>
      <c r="BY55" s="312">
        <f t="shared" si="115"/>
        <v>234</v>
      </c>
      <c r="BZ55" s="312" t="b">
        <f t="shared" si="62"/>
        <v>0</v>
      </c>
      <c r="CA55" s="312" t="b">
        <f t="shared" si="116"/>
        <v>0</v>
      </c>
      <c r="CB55" s="312" t="b">
        <f t="shared" si="63"/>
        <v>0</v>
      </c>
      <c r="CC55" s="312" t="str">
        <f t="shared" si="140"/>
        <v>E</v>
      </c>
      <c r="CD55" s="312" t="str">
        <f t="shared" si="140"/>
        <v>E</v>
      </c>
      <c r="CE55" s="312" t="str">
        <f t="shared" si="140"/>
        <v>G</v>
      </c>
      <c r="CF55" s="312" t="b">
        <f t="shared" si="117"/>
        <v>1</v>
      </c>
      <c r="CG55" s="312" t="str">
        <f t="shared" si="118"/>
        <v>Fase 7</v>
      </c>
      <c r="CH55" s="312" t="str">
        <f t="shared" si="135"/>
        <v>Fase 7</v>
      </c>
      <c r="CI55" s="312">
        <v>10</v>
      </c>
      <c r="CK55" s="312" t="str">
        <f>A55</f>
        <v>Fase 7</v>
      </c>
      <c r="CL55" s="312">
        <f t="shared" si="119"/>
        <v>1234</v>
      </c>
      <c r="CM55" s="312">
        <f t="shared" si="65"/>
        <v>4</v>
      </c>
      <c r="CN55" s="312">
        <f t="shared" si="66"/>
        <v>2</v>
      </c>
      <c r="CO55" s="312">
        <f t="shared" si="67"/>
        <v>4</v>
      </c>
    </row>
    <row r="56" spans="1:93" ht="15.75" thickBot="1">
      <c r="A56" s="409"/>
      <c r="B56" s="410"/>
      <c r="C56" s="336"/>
      <c r="D56" s="337"/>
      <c r="E56" s="494" t="s">
        <v>18</v>
      </c>
      <c r="F56" s="495" t="s">
        <v>333</v>
      </c>
      <c r="G56" s="496" t="s">
        <v>334</v>
      </c>
      <c r="H56" s="521" t="str">
        <f t="shared" si="42"/>
        <v>E</v>
      </c>
      <c r="I56" s="524" t="str">
        <f t="shared" si="43"/>
        <v>M</v>
      </c>
      <c r="J56" s="522" t="str">
        <f t="shared" si="44"/>
        <v>M</v>
      </c>
      <c r="K56" s="617" t="s">
        <v>215</v>
      </c>
      <c r="L56" s="618"/>
      <c r="M56" s="392"/>
      <c r="N56" s="392"/>
      <c r="O56" s="393"/>
      <c r="P56" s="394"/>
      <c r="Q56" s="395"/>
      <c r="R56" s="394">
        <f t="shared" si="45"/>
        <v>10</v>
      </c>
      <c r="S56" s="395">
        <f t="shared" si="46"/>
        <v>0</v>
      </c>
      <c r="T56" s="674"/>
      <c r="U56" s="676"/>
      <c r="V56" s="375">
        <f t="shared" si="136"/>
        <v>0</v>
      </c>
      <c r="W56" s="384">
        <f t="shared" si="143"/>
        <v>0</v>
      </c>
      <c r="X56" s="367">
        <f t="shared" si="49"/>
        <v>0</v>
      </c>
      <c r="Y56" s="366" t="str">
        <f t="shared" si="50"/>
        <v/>
      </c>
      <c r="Z56" s="368" t="str">
        <f t="shared" si="51"/>
        <v>De vraag moet ingevuld worden.</v>
      </c>
      <c r="AA56" s="369">
        <f t="shared" si="68"/>
        <v>51</v>
      </c>
      <c r="AB56" s="316">
        <f t="shared" si="120"/>
        <v>18</v>
      </c>
      <c r="AC56" s="316" t="str">
        <f t="shared" si="121"/>
        <v>Welke processtappen onderneemt u tijdens de exploitatieperiode?</v>
      </c>
      <c r="AD56" s="316" t="str">
        <f t="shared" si="52"/>
        <v>18 Welke processtappen onderneemt u tijdens de exploitatieperiode?</v>
      </c>
      <c r="AE56" s="316" t="str">
        <f t="shared" si="122"/>
        <v>b Periodieke metingen - eindkeuring</v>
      </c>
      <c r="AF56" s="316" t="str">
        <f t="shared" si="123"/>
        <v>18b</v>
      </c>
      <c r="AG56" s="316">
        <f t="shared" si="137"/>
        <v>0</v>
      </c>
      <c r="AH56" s="316">
        <f t="shared" si="137"/>
        <v>0</v>
      </c>
      <c r="AI56" s="316">
        <f t="shared" si="137"/>
        <v>0</v>
      </c>
      <c r="AJ56" s="316">
        <f t="shared" si="137"/>
        <v>0</v>
      </c>
      <c r="AK56" s="316">
        <f t="shared" si="54"/>
        <v>0</v>
      </c>
      <c r="AL56" s="316" t="e">
        <f t="shared" si="124"/>
        <v>#N/A</v>
      </c>
      <c r="AM56" s="316">
        <f t="shared" si="55"/>
        <v>0</v>
      </c>
      <c r="AN56" s="316">
        <f t="shared" si="56"/>
        <v>10</v>
      </c>
      <c r="AO56" s="312">
        <f t="shared" si="95"/>
        <v>0</v>
      </c>
      <c r="AP56" s="312" t="str">
        <f t="shared" si="96"/>
        <v/>
      </c>
      <c r="AQ56" s="312">
        <f t="shared" si="57"/>
        <v>0</v>
      </c>
      <c r="AR56" s="312" t="b">
        <f t="shared" si="125"/>
        <v>1</v>
      </c>
      <c r="AS56" s="312" t="b">
        <f t="shared" si="126"/>
        <v>0</v>
      </c>
      <c r="AT56" s="312" t="b">
        <f t="shared" si="127"/>
        <v>0</v>
      </c>
      <c r="AU56" s="312" t="b">
        <f t="shared" si="128"/>
        <v>0</v>
      </c>
      <c r="AV56" s="312" t="b">
        <f t="shared" si="129"/>
        <v>1</v>
      </c>
      <c r="AW56" s="312" t="b">
        <f t="shared" si="97"/>
        <v>0</v>
      </c>
      <c r="AX56" s="312">
        <f t="shared" si="130"/>
        <v>10</v>
      </c>
      <c r="AY56" s="312">
        <f t="shared" si="131"/>
        <v>0</v>
      </c>
      <c r="AZ56" s="312" t="b">
        <f t="shared" si="58"/>
        <v>0</v>
      </c>
      <c r="BA56" s="312" t="b">
        <f t="shared" si="59"/>
        <v>0</v>
      </c>
      <c r="BB56" s="312" t="b">
        <f t="shared" si="98"/>
        <v>0</v>
      </c>
      <c r="BC56" s="312" t="b">
        <f t="shared" si="99"/>
        <v>0</v>
      </c>
      <c r="BD56" s="312">
        <v>1</v>
      </c>
      <c r="BE56" s="312" t="b">
        <f t="shared" si="100"/>
        <v>1</v>
      </c>
      <c r="BF56" s="312" t="b">
        <f t="shared" si="101"/>
        <v>0</v>
      </c>
      <c r="BG56" s="312" t="b">
        <f t="shared" si="102"/>
        <v>0</v>
      </c>
      <c r="BH56" s="312" t="b">
        <f t="shared" si="103"/>
        <v>1</v>
      </c>
      <c r="BI56" s="312" t="b">
        <f t="shared" si="104"/>
        <v>0</v>
      </c>
      <c r="BJ56" s="312" t="b">
        <f t="shared" si="105"/>
        <v>0</v>
      </c>
      <c r="BK56" s="312" t="b">
        <f t="shared" si="106"/>
        <v>0</v>
      </c>
      <c r="BL56" s="312" t="b">
        <f t="shared" si="60"/>
        <v>0</v>
      </c>
      <c r="BM56" s="312" t="b">
        <f t="shared" si="132"/>
        <v>1</v>
      </c>
      <c r="BN56" s="312" t="b">
        <f t="shared" si="133"/>
        <v>0</v>
      </c>
      <c r="BO56" s="312" t="b">
        <f t="shared" si="107"/>
        <v>0</v>
      </c>
      <c r="BP56" s="312" t="str">
        <f t="shared" si="134"/>
        <v>De vraag moet ingevuld worden.</v>
      </c>
      <c r="BQ56" s="312" t="str">
        <f t="shared" si="108"/>
        <v>Een MUST-vraag moet minimaal antwoord 3 of 4 hebben.</v>
      </c>
      <c r="BR56" s="312" t="str">
        <f t="shared" si="109"/>
        <v/>
      </c>
      <c r="BS56" s="312" t="str">
        <f t="shared" si="110"/>
        <v/>
      </c>
      <c r="BT56" s="312" t="str">
        <f t="shared" si="111"/>
        <v/>
      </c>
      <c r="BU56" s="312" t="str">
        <f t="shared" si="112"/>
        <v/>
      </c>
      <c r="BV56" s="312" t="str">
        <f t="shared" si="61"/>
        <v>De vraag moet ingevuld worden.</v>
      </c>
      <c r="BW56" s="312" t="str">
        <f t="shared" si="113"/>
        <v/>
      </c>
      <c r="BX56" s="312" t="str">
        <f t="shared" si="114"/>
        <v/>
      </c>
      <c r="BY56" s="312" t="str">
        <f t="shared" si="115"/>
        <v/>
      </c>
      <c r="BZ56" s="312" t="b">
        <f t="shared" si="62"/>
        <v>1</v>
      </c>
      <c r="CA56" s="312" t="b">
        <f t="shared" si="116"/>
        <v>0</v>
      </c>
      <c r="CB56" s="312" t="b">
        <f t="shared" si="63"/>
        <v>0</v>
      </c>
      <c r="CC56" s="312" t="str">
        <f t="shared" si="140"/>
        <v>E</v>
      </c>
      <c r="CD56" s="312" t="str">
        <f t="shared" si="140"/>
        <v>M</v>
      </c>
      <c r="CE56" s="312" t="str">
        <f t="shared" si="140"/>
        <v>M</v>
      </c>
      <c r="CF56" s="312" t="b">
        <f t="shared" si="117"/>
        <v>0</v>
      </c>
      <c r="CG56" s="312" t="str">
        <f t="shared" si="118"/>
        <v/>
      </c>
      <c r="CH56" s="312" t="str">
        <f t="shared" si="135"/>
        <v>Fase 7</v>
      </c>
      <c r="CI56" s="312">
        <v>10</v>
      </c>
      <c r="CK56" s="312" t="str">
        <f>CK55</f>
        <v>Fase 7</v>
      </c>
      <c r="CL56" s="312">
        <f t="shared" si="119"/>
        <v>34</v>
      </c>
      <c r="CM56" s="312">
        <f t="shared" si="65"/>
        <v>4</v>
      </c>
      <c r="CN56" s="312">
        <f t="shared" si="66"/>
        <v>3</v>
      </c>
      <c r="CO56" s="312">
        <f t="shared" si="67"/>
        <v>4</v>
      </c>
    </row>
    <row r="57" spans="1:63" ht="15">
      <c r="A57" s="423"/>
      <c r="B57" s="423"/>
      <c r="C57" s="424"/>
      <c r="D57" s="425" t="s">
        <v>547</v>
      </c>
      <c r="G57" s="426" t="s">
        <v>550</v>
      </c>
      <c r="K57" s="426">
        <f>AR57</f>
        <v>10</v>
      </c>
      <c r="L57" s="426">
        <f>AR58</f>
        <v>0</v>
      </c>
      <c r="M57" s="427"/>
      <c r="N57" s="427"/>
      <c r="O57" s="427"/>
      <c r="Q57" s="428" t="s">
        <v>335</v>
      </c>
      <c r="R57" s="428"/>
      <c r="S57" s="428"/>
      <c r="T57" s="429">
        <f>BE69</f>
        <v>415</v>
      </c>
      <c r="U57" s="430">
        <f>BE70</f>
        <v>200</v>
      </c>
      <c r="V57" s="431">
        <f>SUM(V6:V56)</f>
        <v>0</v>
      </c>
      <c r="W57" s="431">
        <f>SUM(W6:W56)</f>
        <v>0</v>
      </c>
      <c r="X57" s="431">
        <f>BD69</f>
        <v>0</v>
      </c>
      <c r="Y57" s="431">
        <f>BD70</f>
        <v>0</v>
      </c>
      <c r="Z57" s="368"/>
      <c r="AQ57" s="312">
        <f>SUM(AR57:AV57)</f>
        <v>51</v>
      </c>
      <c r="AR57" s="312">
        <f>SUMIF(BH6:BH56,TRUE,$BD$6:$BD$56)</f>
        <v>10</v>
      </c>
      <c r="AS57" s="312">
        <f>SUMIF(BI6:BI56,TRUE,$BD$6:$BD$56)</f>
        <v>24</v>
      </c>
      <c r="AT57" s="312">
        <f>SUMIF(BJ6:BJ56,TRUE,$BD$6:$BD$56)</f>
        <v>4</v>
      </c>
      <c r="AU57" s="312">
        <f>SUMIF(BL6:BL56,TRUE,$BD$6:$BD$56)</f>
        <v>0</v>
      </c>
      <c r="AV57" s="312">
        <f>SUMIF(CA6:CA56,TRUE,$BD$6:$BD$56)</f>
        <v>13</v>
      </c>
      <c r="BJ57" s="312">
        <f>SUMIFS(BD6:BD56,BL6:BL56,TRUE,vgo_a,"&gt;=3")</f>
        <v>0</v>
      </c>
      <c r="BK57" s="312">
        <f>SUMIF(BK6:BK56,TRUE,$BD$6:$BD$56)+BJ57</f>
        <v>0</v>
      </c>
    </row>
    <row r="58" spans="7:48" ht="15.75" thickBot="1">
      <c r="G58" s="426" t="s">
        <v>551</v>
      </c>
      <c r="K58" s="426">
        <f>AS57</f>
        <v>24</v>
      </c>
      <c r="L58" s="426">
        <f>AS58</f>
        <v>0</v>
      </c>
      <c r="M58" s="427"/>
      <c r="N58" s="427"/>
      <c r="O58" s="427"/>
      <c r="Q58" s="428"/>
      <c r="R58" s="428"/>
      <c r="S58" s="428"/>
      <c r="T58" s="432"/>
      <c r="U58" s="433"/>
      <c r="V58" s="434">
        <f>V57/89</f>
        <v>0</v>
      </c>
      <c r="W58" s="434">
        <f>W57/89</f>
        <v>0</v>
      </c>
      <c r="X58" s="573">
        <f>ROUNDDOWN(100*BH69,0)/100</f>
        <v>0</v>
      </c>
      <c r="Y58" s="573">
        <f>ROUNDDOWN(100*BH70,0)/100</f>
        <v>0</v>
      </c>
      <c r="Z58" s="368"/>
      <c r="AA58" s="435"/>
      <c r="AQ58" s="312">
        <f>SUM(AR58:AV58)</f>
        <v>0</v>
      </c>
      <c r="AR58" s="312">
        <f>SUMIF(BA6:BA56,TRUE,$BD$6:$BD$56)</f>
        <v>0</v>
      </c>
      <c r="AS58" s="312">
        <f>SUMIF(BB6:BB56,TRUE,$BD$6:$BD$56)</f>
        <v>0</v>
      </c>
      <c r="AT58" s="312">
        <f>SUMIF(BC6:BC56,TRUE,$BD$6:$BD$56)</f>
        <v>0</v>
      </c>
      <c r="AU58" s="312">
        <f>SUMIF(AZ6:AZ56,TRUE,$BD$6:$BD$56)</f>
        <v>0</v>
      </c>
      <c r="AV58" s="312">
        <f>SUMIF(CB6:CB56,TRUE,$BD$6:$BD$56)</f>
        <v>0</v>
      </c>
    </row>
    <row r="59" spans="6:46" ht="15.75" thickBot="1">
      <c r="F59" s="439"/>
      <c r="G59" s="426" t="s">
        <v>553</v>
      </c>
      <c r="K59" s="426">
        <f>AT57</f>
        <v>4</v>
      </c>
      <c r="L59" s="426">
        <f>AT58</f>
        <v>0</v>
      </c>
      <c r="M59" s="427"/>
      <c r="N59" s="427"/>
      <c r="O59" s="427"/>
      <c r="Q59" s="428" t="s">
        <v>336</v>
      </c>
      <c r="R59" s="597">
        <f>AT59</f>
        <v>0</v>
      </c>
      <c r="S59" s="428"/>
      <c r="T59" s="436" t="s">
        <v>215</v>
      </c>
      <c r="U59" s="437" t="s">
        <v>216</v>
      </c>
      <c r="V59" s="438" t="s">
        <v>337</v>
      </c>
      <c r="W59" s="438" t="s">
        <v>338</v>
      </c>
      <c r="X59" s="438" t="str">
        <f>T59</f>
        <v>O</v>
      </c>
      <c r="Y59" s="438" t="str">
        <f>U59</f>
        <v>K</v>
      </c>
      <c r="Z59" s="368" t="str">
        <f>IF(AR59,vraag_voorwaarde_must,IF(AS59,vraag_voorwaarde_gewone_1,""))</f>
        <v/>
      </c>
      <c r="AA59" s="369"/>
      <c r="AT59" s="312">
        <f>SUMIFS($BD$6:$BD$56,BC6:BC56,TRUE,AG6:AG56,1)</f>
        <v>0</v>
      </c>
    </row>
    <row r="60" spans="7:12" ht="15">
      <c r="G60" s="428" t="s">
        <v>673</v>
      </c>
      <c r="K60" s="428">
        <f>AV57</f>
        <v>13</v>
      </c>
      <c r="L60" s="428">
        <f>AV58</f>
        <v>0</v>
      </c>
    </row>
    <row r="61" spans="7:56" ht="15">
      <c r="G61" s="428" t="s">
        <v>101</v>
      </c>
      <c r="K61" s="428">
        <f>AQ57</f>
        <v>51</v>
      </c>
      <c r="L61" s="428">
        <f>AQ58</f>
        <v>0</v>
      </c>
      <c r="BC61" s="312" t="s">
        <v>351</v>
      </c>
      <c r="BD61" s="312" t="str">
        <f>IF(AR57-BA57=0,"ja","nee")</f>
        <v>nee</v>
      </c>
    </row>
    <row r="62" spans="7:12" ht="15">
      <c r="G62" s="440" t="s">
        <v>554</v>
      </c>
      <c r="H62" s="441"/>
      <c r="I62" s="441"/>
      <c r="J62" s="441"/>
      <c r="K62" s="624">
        <f>IF(profiel_gekozen=0,0,VLOOKUP(profiel_gekozen,min_score,4,FALSE))</f>
        <v>0.6</v>
      </c>
      <c r="L62" s="624">
        <f>ROUNDDOWN(100*BK57/(K58+K59),0)/100</f>
        <v>0</v>
      </c>
    </row>
    <row r="66" spans="55:56" ht="15">
      <c r="BC66" s="312" t="s">
        <v>351</v>
      </c>
      <c r="BD66" s="312" t="str">
        <f>IF(AQ57-BB57=0,"ja","nee")</f>
        <v>nee</v>
      </c>
    </row>
    <row r="68" spans="55:60" ht="15">
      <c r="BC68" s="312" t="s">
        <v>610</v>
      </c>
      <c r="BD68" s="312" t="s">
        <v>112</v>
      </c>
      <c r="BE68" s="312" t="s">
        <v>611</v>
      </c>
      <c r="BF68" s="312" t="s">
        <v>356</v>
      </c>
      <c r="BG68" s="312" t="s">
        <v>612</v>
      </c>
      <c r="BH68" s="312" t="s">
        <v>359</v>
      </c>
    </row>
    <row r="69" spans="55:61" ht="15">
      <c r="BC69" s="312" t="s">
        <v>215</v>
      </c>
      <c r="BD69" s="312">
        <f>SUMIF(vgo_show,TRUE,AO6:AO56)</f>
        <v>0</v>
      </c>
      <c r="BE69" s="312">
        <f>SUMIF(vgo_show,TRUE,AX6:AX56)</f>
        <v>415</v>
      </c>
      <c r="BF69" s="442">
        <f>IF(ISNA(BI69),0,BI69)</f>
        <v>0.6</v>
      </c>
      <c r="BG69" s="312">
        <f>ROUND(BF69*BE69,2)</f>
        <v>249</v>
      </c>
      <c r="BH69" s="443">
        <f>BD69/MAX(BE69,1)</f>
        <v>0</v>
      </c>
      <c r="BI69" s="312">
        <f>VLOOKUP($AF$4,min_score,2,FALSE)</f>
        <v>0.6</v>
      </c>
    </row>
    <row r="70" spans="55:61" ht="15">
      <c r="BC70" s="312" t="s">
        <v>216</v>
      </c>
      <c r="BD70" s="312">
        <f>SUMIF(vgo_show,TRUE,AP6:AP56)</f>
        <v>0</v>
      </c>
      <c r="BE70" s="312">
        <f>SUMIF(vgo_show,TRUE,AY6:AY56)</f>
        <v>200</v>
      </c>
      <c r="BF70" s="442">
        <f>IF(ISNA(BI70),0,BI70)</f>
        <v>0.6</v>
      </c>
      <c r="BG70" s="312">
        <f>ROUND(BF70*BE70,2)</f>
        <v>120</v>
      </c>
      <c r="BH70" s="443">
        <f>BD70/MAX(BE70,1)</f>
        <v>0</v>
      </c>
      <c r="BI70" s="312">
        <f>VLOOKUP($AF$4,min_score,3,FALSE)</f>
        <v>0.6</v>
      </c>
    </row>
  </sheetData>
  <sheetProtection sheet="1" objects="1" scenarios="1" selectLockedCells="1"/>
  <mergeCells count="43">
    <mergeCell ref="T53:T54"/>
    <mergeCell ref="U53:U54"/>
    <mergeCell ref="T55:T56"/>
    <mergeCell ref="U55:U56"/>
    <mergeCell ref="T41:T45"/>
    <mergeCell ref="U41:U45"/>
    <mergeCell ref="D46:D47"/>
    <mergeCell ref="T46:T48"/>
    <mergeCell ref="U46:U48"/>
    <mergeCell ref="T49:T52"/>
    <mergeCell ref="U49:U52"/>
    <mergeCell ref="T31:T32"/>
    <mergeCell ref="U31:U32"/>
    <mergeCell ref="T33:T35"/>
    <mergeCell ref="U33:U35"/>
    <mergeCell ref="T36:T40"/>
    <mergeCell ref="U36:U40"/>
    <mergeCell ref="T22:T25"/>
    <mergeCell ref="U22:U25"/>
    <mergeCell ref="T26:T27"/>
    <mergeCell ref="U26:U27"/>
    <mergeCell ref="D28:D29"/>
    <mergeCell ref="T28:T30"/>
    <mergeCell ref="U28:U30"/>
    <mergeCell ref="T20:T21"/>
    <mergeCell ref="U20:U21"/>
    <mergeCell ref="D11:D12"/>
    <mergeCell ref="T11:T12"/>
    <mergeCell ref="U11:U12"/>
    <mergeCell ref="D13:D14"/>
    <mergeCell ref="T13:T15"/>
    <mergeCell ref="U13:U15"/>
    <mergeCell ref="D16:D17"/>
    <mergeCell ref="T16:T17"/>
    <mergeCell ref="U16:U17"/>
    <mergeCell ref="T18:T19"/>
    <mergeCell ref="U18:U19"/>
    <mergeCell ref="R2:Y2"/>
    <mergeCell ref="T6:T7"/>
    <mergeCell ref="U6:U7"/>
    <mergeCell ref="D8:D9"/>
    <mergeCell ref="T8:T10"/>
    <mergeCell ref="U8:U10"/>
  </mergeCells>
  <conditionalFormatting sqref="L6">
    <cfRule type="expression" priority="11" dxfId="5" stopIfTrue="1">
      <formula>L6=""</formula>
    </cfRule>
    <cfRule type="expression" priority="14" dxfId="5" stopIfTrue="1">
      <formula>AND(AW6,AK6=1)</formula>
    </cfRule>
    <cfRule type="expression" priority="17" dxfId="16" stopIfTrue="1">
      <formula>AND(AW6,AK6=2)</formula>
    </cfRule>
    <cfRule type="expression" priority="20" dxfId="5" stopIfTrue="1">
      <formula>OR(BE6,BF6)</formula>
    </cfRule>
    <cfRule type="expression" priority="23" dxfId="4" stopIfTrue="1">
      <formula>NOT(OR(BE6,BF6))</formula>
    </cfRule>
  </conditionalFormatting>
  <conditionalFormatting sqref="X6">
    <cfRule type="expression" priority="12" dxfId="5" stopIfTrue="1">
      <formula>L6=""</formula>
    </cfRule>
    <cfRule type="expression" priority="15" dxfId="5" stopIfTrue="1">
      <formula>AND(AW6,AK6=1)</formula>
    </cfRule>
    <cfRule type="expression" priority="18" dxfId="16" stopIfTrue="1">
      <formula>AND(AW6,AK6=2)</formula>
    </cfRule>
    <cfRule type="expression" priority="21" dxfId="5" stopIfTrue="1">
      <formula>OR(BE6,BF6)</formula>
    </cfRule>
    <cfRule type="expression" priority="24" dxfId="4" stopIfTrue="1">
      <formula>NOT(OR(BE6,BF6))</formula>
    </cfRule>
  </conditionalFormatting>
  <conditionalFormatting sqref="Y6">
    <cfRule type="expression" priority="13" dxfId="5" stopIfTrue="1">
      <formula>L6=""</formula>
    </cfRule>
    <cfRule type="expression" priority="16" dxfId="5" stopIfTrue="1">
      <formula>AND(AW6,AK6=1)</formula>
    </cfRule>
    <cfRule type="expression" priority="19" dxfId="16" stopIfTrue="1">
      <formula>AND(AW6,AK6=2)</formula>
    </cfRule>
    <cfRule type="expression" priority="22" dxfId="5" stopIfTrue="1">
      <formula>OR(BE6,BF6)</formula>
    </cfRule>
    <cfRule type="expression" priority="25" dxfId="4" stopIfTrue="1">
      <formula>NOT(OR(BE6,BF6))</formula>
    </cfRule>
  </conditionalFormatting>
  <conditionalFormatting sqref="L7">
    <cfRule type="expression" priority="26" dxfId="5" stopIfTrue="1">
      <formula>L7=""</formula>
    </cfRule>
    <cfRule type="expression" priority="29" dxfId="5" stopIfTrue="1">
      <formula>AND(AW7,AK7=1)</formula>
    </cfRule>
    <cfRule type="expression" priority="32" dxfId="16" stopIfTrue="1">
      <formula>AND(AW7,AK7=2)</formula>
    </cfRule>
    <cfRule type="expression" priority="35" dxfId="5" stopIfTrue="1">
      <formula>OR(BE7,BF7)</formula>
    </cfRule>
    <cfRule type="expression" priority="38" dxfId="4" stopIfTrue="1">
      <formula>NOT(OR(BE7,BF7))</formula>
    </cfRule>
  </conditionalFormatting>
  <conditionalFormatting sqref="X7">
    <cfRule type="expression" priority="27" dxfId="5" stopIfTrue="1">
      <formula>L7=""</formula>
    </cfRule>
    <cfRule type="expression" priority="30" dxfId="5" stopIfTrue="1">
      <formula>AND(AW7,AK7=1)</formula>
    </cfRule>
    <cfRule type="expression" priority="33" dxfId="16" stopIfTrue="1">
      <formula>AND(AW7,AK7=2)</formula>
    </cfRule>
    <cfRule type="expression" priority="36" dxfId="5" stopIfTrue="1">
      <formula>OR(BE7,BF7)</formula>
    </cfRule>
    <cfRule type="expression" priority="39" dxfId="4" stopIfTrue="1">
      <formula>NOT(OR(BE7,BF7))</formula>
    </cfRule>
  </conditionalFormatting>
  <conditionalFormatting sqref="Y7">
    <cfRule type="expression" priority="28" dxfId="5" stopIfTrue="1">
      <formula>L7=""</formula>
    </cfRule>
    <cfRule type="expression" priority="31" dxfId="5" stopIfTrue="1">
      <formula>AND(AW7,AK7=1)</formula>
    </cfRule>
    <cfRule type="expression" priority="34" dxfId="16" stopIfTrue="1">
      <formula>AND(AW7,AK7=2)</formula>
    </cfRule>
    <cfRule type="expression" priority="37" dxfId="5" stopIfTrue="1">
      <formula>OR(BE7,BF7)</formula>
    </cfRule>
    <cfRule type="expression" priority="40" dxfId="4" stopIfTrue="1">
      <formula>NOT(OR(BE7,BF7))</formula>
    </cfRule>
  </conditionalFormatting>
  <conditionalFormatting sqref="L8">
    <cfRule type="expression" priority="41" dxfId="5" stopIfTrue="1">
      <formula>L8=""</formula>
    </cfRule>
    <cfRule type="expression" priority="44" dxfId="5" stopIfTrue="1">
      <formula>AND(AW8,AK8=1)</formula>
    </cfRule>
    <cfRule type="expression" priority="47" dxfId="16" stopIfTrue="1">
      <formula>AND(AW8,AK8=2)</formula>
    </cfRule>
    <cfRule type="expression" priority="50" dxfId="5" stopIfTrue="1">
      <formula>OR(BE8,BF8)</formula>
    </cfRule>
    <cfRule type="expression" priority="53" dxfId="4" stopIfTrue="1">
      <formula>NOT(OR(BE8,BF8))</formula>
    </cfRule>
  </conditionalFormatting>
  <conditionalFormatting sqref="X8">
    <cfRule type="expression" priority="42" dxfId="5" stopIfTrue="1">
      <formula>L8=""</formula>
    </cfRule>
    <cfRule type="expression" priority="45" dxfId="5" stopIfTrue="1">
      <formula>AND(AW8,AK8=1)</formula>
    </cfRule>
    <cfRule type="expression" priority="48" dxfId="16" stopIfTrue="1">
      <formula>AND(AW8,AK8=2)</formula>
    </cfRule>
    <cfRule type="expression" priority="51" dxfId="5" stopIfTrue="1">
      <formula>OR(BE8,BF8)</formula>
    </cfRule>
    <cfRule type="expression" priority="54" dxfId="4" stopIfTrue="1">
      <formula>NOT(OR(BE8,BF8))</formula>
    </cfRule>
  </conditionalFormatting>
  <conditionalFormatting sqref="Y8">
    <cfRule type="expression" priority="43" dxfId="5" stopIfTrue="1">
      <formula>L8=""</formula>
    </cfRule>
    <cfRule type="expression" priority="46" dxfId="5" stopIfTrue="1">
      <formula>AND(AW8,AK8=1)</formula>
    </cfRule>
    <cfRule type="expression" priority="49" dxfId="16" stopIfTrue="1">
      <formula>AND(AW8,AK8=2)</formula>
    </cfRule>
    <cfRule type="expression" priority="52" dxfId="5" stopIfTrue="1">
      <formula>OR(BE8,BF8)</formula>
    </cfRule>
    <cfRule type="expression" priority="55" dxfId="4" stopIfTrue="1">
      <formula>NOT(OR(BE8,BF8))</formula>
    </cfRule>
  </conditionalFormatting>
  <conditionalFormatting sqref="L9">
    <cfRule type="expression" priority="56" dxfId="5" stopIfTrue="1">
      <formula>L9=""</formula>
    </cfRule>
    <cfRule type="expression" priority="59" dxfId="5" stopIfTrue="1">
      <formula>AND(AW9,AK9=1)</formula>
    </cfRule>
    <cfRule type="expression" priority="62" dxfId="16" stopIfTrue="1">
      <formula>AND(AW9,AK9=2)</formula>
    </cfRule>
    <cfRule type="expression" priority="65" dxfId="5" stopIfTrue="1">
      <formula>OR(BE9,BF9)</formula>
    </cfRule>
    <cfRule type="expression" priority="68" dxfId="4" stopIfTrue="1">
      <formula>NOT(OR(BE9,BF9))</formula>
    </cfRule>
  </conditionalFormatting>
  <conditionalFormatting sqref="X9">
    <cfRule type="expression" priority="57" dxfId="5" stopIfTrue="1">
      <formula>L9=""</formula>
    </cfRule>
    <cfRule type="expression" priority="60" dxfId="5" stopIfTrue="1">
      <formula>AND(AW9,AK9=1)</formula>
    </cfRule>
    <cfRule type="expression" priority="63" dxfId="16" stopIfTrue="1">
      <formula>AND(AW9,AK9=2)</formula>
    </cfRule>
    <cfRule type="expression" priority="66" dxfId="5" stopIfTrue="1">
      <formula>OR(BE9,BF9)</formula>
    </cfRule>
    <cfRule type="expression" priority="69" dxfId="4" stopIfTrue="1">
      <formula>NOT(OR(BE9,BF9))</formula>
    </cfRule>
  </conditionalFormatting>
  <conditionalFormatting sqref="Y9">
    <cfRule type="expression" priority="58" dxfId="5" stopIfTrue="1">
      <formula>L9=""</formula>
    </cfRule>
    <cfRule type="expression" priority="61" dxfId="5" stopIfTrue="1">
      <formula>AND(AW9,AK9=1)</formula>
    </cfRule>
    <cfRule type="expression" priority="64" dxfId="16" stopIfTrue="1">
      <formula>AND(AW9,AK9=2)</formula>
    </cfRule>
    <cfRule type="expression" priority="67" dxfId="5" stopIfTrue="1">
      <formula>OR(BE9,BF9)</formula>
    </cfRule>
    <cfRule type="expression" priority="70" dxfId="4" stopIfTrue="1">
      <formula>NOT(OR(BE9,BF9))</formula>
    </cfRule>
  </conditionalFormatting>
  <conditionalFormatting sqref="L10">
    <cfRule type="expression" priority="71" dxfId="5" stopIfTrue="1">
      <formula>L10=""</formula>
    </cfRule>
    <cfRule type="expression" priority="74" dxfId="5" stopIfTrue="1">
      <formula>AND(AW10,AK10=1)</formula>
    </cfRule>
    <cfRule type="expression" priority="77" dxfId="16" stopIfTrue="1">
      <formula>AND(AW10,AK10=2)</formula>
    </cfRule>
    <cfRule type="expression" priority="80" dxfId="5" stopIfTrue="1">
      <formula>OR(BE10,BF10)</formula>
    </cfRule>
    <cfRule type="expression" priority="83" dxfId="4" stopIfTrue="1">
      <formula>NOT(OR(BE10,BF10))</formula>
    </cfRule>
  </conditionalFormatting>
  <conditionalFormatting sqref="X10">
    <cfRule type="expression" priority="72" dxfId="5" stopIfTrue="1">
      <formula>L10=""</formula>
    </cfRule>
    <cfRule type="expression" priority="75" dxfId="5" stopIfTrue="1">
      <formula>AND(AW10,AK10=1)</formula>
    </cfRule>
    <cfRule type="expression" priority="78" dxfId="16" stopIfTrue="1">
      <formula>AND(AW10,AK10=2)</formula>
    </cfRule>
    <cfRule type="expression" priority="81" dxfId="5" stopIfTrue="1">
      <formula>OR(BE10,BF10)</formula>
    </cfRule>
    <cfRule type="expression" priority="84" dxfId="4" stopIfTrue="1">
      <formula>NOT(OR(BE10,BF10))</formula>
    </cfRule>
  </conditionalFormatting>
  <conditionalFormatting sqref="Y10">
    <cfRule type="expression" priority="73" dxfId="5" stopIfTrue="1">
      <formula>L10=""</formula>
    </cfRule>
    <cfRule type="expression" priority="76" dxfId="5" stopIfTrue="1">
      <formula>AND(AW10,AK10=1)</formula>
    </cfRule>
    <cfRule type="expression" priority="79" dxfId="16" stopIfTrue="1">
      <formula>AND(AW10,AK10=2)</formula>
    </cfRule>
    <cfRule type="expression" priority="82" dxfId="5" stopIfTrue="1">
      <formula>OR(BE10,BF10)</formula>
    </cfRule>
    <cfRule type="expression" priority="85" dxfId="4" stopIfTrue="1">
      <formula>NOT(OR(BE10,BF10))</formula>
    </cfRule>
  </conditionalFormatting>
  <conditionalFormatting sqref="L11">
    <cfRule type="expression" priority="86" dxfId="5" stopIfTrue="1">
      <formula>L11=""</formula>
    </cfRule>
    <cfRule type="expression" priority="89" dxfId="5" stopIfTrue="1">
      <formula>AND(AW11,AK11=1)</formula>
    </cfRule>
    <cfRule type="expression" priority="92" dxfId="16" stopIfTrue="1">
      <formula>AND(AW11,AK11=2)</formula>
    </cfRule>
    <cfRule type="expression" priority="95" dxfId="5" stopIfTrue="1">
      <formula>OR(BE11,BF11)</formula>
    </cfRule>
    <cfRule type="expression" priority="98" dxfId="4" stopIfTrue="1">
      <formula>NOT(OR(BE11,BF11))</formula>
    </cfRule>
  </conditionalFormatting>
  <conditionalFormatting sqref="X11">
    <cfRule type="expression" priority="87" dxfId="5" stopIfTrue="1">
      <formula>L11=""</formula>
    </cfRule>
    <cfRule type="expression" priority="90" dxfId="5" stopIfTrue="1">
      <formula>AND(AW11,AK11=1)</formula>
    </cfRule>
    <cfRule type="expression" priority="93" dxfId="16" stopIfTrue="1">
      <formula>AND(AW11,AK11=2)</formula>
    </cfRule>
    <cfRule type="expression" priority="96" dxfId="5" stopIfTrue="1">
      <formula>OR(BE11,BF11)</formula>
    </cfRule>
    <cfRule type="expression" priority="99" dxfId="4" stopIfTrue="1">
      <formula>NOT(OR(BE11,BF11))</formula>
    </cfRule>
  </conditionalFormatting>
  <conditionalFormatting sqref="Y11">
    <cfRule type="expression" priority="88" dxfId="5" stopIfTrue="1">
      <formula>L11=""</formula>
    </cfRule>
    <cfRule type="expression" priority="91" dxfId="5" stopIfTrue="1">
      <formula>AND(AW11,AK11=1)</formula>
    </cfRule>
    <cfRule type="expression" priority="94" dxfId="16" stopIfTrue="1">
      <formula>AND(AW11,AK11=2)</formula>
    </cfRule>
    <cfRule type="expression" priority="97" dxfId="5" stopIfTrue="1">
      <formula>OR(BE11,BF11)</formula>
    </cfRule>
    <cfRule type="expression" priority="100" dxfId="4" stopIfTrue="1">
      <formula>NOT(OR(BE11,BF11))</formula>
    </cfRule>
  </conditionalFormatting>
  <conditionalFormatting sqref="L12">
    <cfRule type="expression" priority="101" dxfId="5" stopIfTrue="1">
      <formula>L12=""</formula>
    </cfRule>
    <cfRule type="expression" priority="104" dxfId="5" stopIfTrue="1">
      <formula>AND(AW12,AK12=1)</formula>
    </cfRule>
    <cfRule type="expression" priority="107" dxfId="16" stopIfTrue="1">
      <formula>AND(AW12,AK12=2)</formula>
    </cfRule>
    <cfRule type="expression" priority="110" dxfId="5" stopIfTrue="1">
      <formula>OR(BE12,BF12)</formula>
    </cfRule>
    <cfRule type="expression" priority="113" dxfId="4" stopIfTrue="1">
      <formula>NOT(OR(BE12,BF12))</formula>
    </cfRule>
  </conditionalFormatting>
  <conditionalFormatting sqref="Y12">
    <cfRule type="expression" priority="103" dxfId="5" stopIfTrue="1">
      <formula>L12=""</formula>
    </cfRule>
  </conditionalFormatting>
  <conditionalFormatting sqref="X12">
    <cfRule type="expression" priority="102" dxfId="5" stopIfTrue="1">
      <formula>L12=""</formula>
    </cfRule>
    <cfRule type="expression" priority="105" dxfId="5" stopIfTrue="1">
      <formula>AND(AW12,AK12=1)</formula>
    </cfRule>
    <cfRule type="expression" priority="108" dxfId="16" stopIfTrue="1">
      <formula>AND(AW12,AK12=2)</formula>
    </cfRule>
    <cfRule type="expression" priority="111" dxfId="5" stopIfTrue="1">
      <formula>OR(BE12,BF12)</formula>
    </cfRule>
    <cfRule type="expression" priority="114" dxfId="4" stopIfTrue="1">
      <formula>NOT(OR(BE12,BF12))</formula>
    </cfRule>
  </conditionalFormatting>
  <conditionalFormatting sqref="Y12">
    <cfRule type="expression" priority="106" dxfId="5" stopIfTrue="1">
      <formula>AND(AW12,AK12=1)</formula>
    </cfRule>
  </conditionalFormatting>
  <conditionalFormatting sqref="Y12">
    <cfRule type="expression" priority="109" dxfId="16" stopIfTrue="1">
      <formula>AND(AW12,AK12=2)</formula>
    </cfRule>
  </conditionalFormatting>
  <conditionalFormatting sqref="Y12">
    <cfRule type="expression" priority="112" dxfId="5" stopIfTrue="1">
      <formula>OR(BE12,BF12)</formula>
    </cfRule>
  </conditionalFormatting>
  <conditionalFormatting sqref="Y12">
    <cfRule type="expression" priority="115" dxfId="4" stopIfTrue="1">
      <formula>NOT(OR(BE12,BF12))</formula>
    </cfRule>
  </conditionalFormatting>
  <conditionalFormatting sqref="L13">
    <cfRule type="expression" priority="116" dxfId="5" stopIfTrue="1">
      <formula>L13=""</formula>
    </cfRule>
    <cfRule type="expression" priority="119" dxfId="5" stopIfTrue="1">
      <formula>AND(AW13,AK13=1)</formula>
    </cfRule>
    <cfRule type="expression" priority="122" dxfId="16" stopIfTrue="1">
      <formula>AND(AW13,AK13=2)</formula>
    </cfRule>
    <cfRule type="expression" priority="125" dxfId="5" stopIfTrue="1">
      <formula>OR(BE13,BF13)</formula>
    </cfRule>
    <cfRule type="expression" priority="128" dxfId="4" stopIfTrue="1">
      <formula>NOT(OR(BE13,BF13))</formula>
    </cfRule>
  </conditionalFormatting>
  <conditionalFormatting sqref="X13">
    <cfRule type="expression" priority="117" dxfId="5" stopIfTrue="1">
      <formula>L13=""</formula>
    </cfRule>
    <cfRule type="expression" priority="120" dxfId="5" stopIfTrue="1">
      <formula>AND(AW13,AK13=1)</formula>
    </cfRule>
    <cfRule type="expression" priority="123" dxfId="16" stopIfTrue="1">
      <formula>AND(AW13,AK13=2)</formula>
    </cfRule>
    <cfRule type="expression" priority="126" dxfId="5" stopIfTrue="1">
      <formula>OR(BE13,BF13)</formula>
    </cfRule>
    <cfRule type="expression" priority="129" dxfId="4" stopIfTrue="1">
      <formula>NOT(OR(BE13,BF13))</formula>
    </cfRule>
  </conditionalFormatting>
  <conditionalFormatting sqref="Y13">
    <cfRule type="expression" priority="118" dxfId="5" stopIfTrue="1">
      <formula>L13=""</formula>
    </cfRule>
  </conditionalFormatting>
  <conditionalFormatting sqref="Y13">
    <cfRule type="expression" priority="121" dxfId="5" stopIfTrue="1">
      <formula>AND(AW13,AK13=1)</formula>
    </cfRule>
  </conditionalFormatting>
  <conditionalFormatting sqref="Y13">
    <cfRule type="expression" priority="124" dxfId="16" stopIfTrue="1">
      <formula>AND(AW13,AK13=2)</formula>
    </cfRule>
  </conditionalFormatting>
  <conditionalFormatting sqref="Y13">
    <cfRule type="expression" priority="127" dxfId="5" stopIfTrue="1">
      <formula>OR(BE13,BF13)</formula>
    </cfRule>
  </conditionalFormatting>
  <conditionalFormatting sqref="Y13">
    <cfRule type="expression" priority="130" dxfId="4" stopIfTrue="1">
      <formula>NOT(OR(BE13,BF13))</formula>
    </cfRule>
  </conditionalFormatting>
  <conditionalFormatting sqref="L14">
    <cfRule type="expression" priority="131" dxfId="5" stopIfTrue="1">
      <formula>L14=""</formula>
    </cfRule>
    <cfRule type="expression" priority="134" dxfId="5" stopIfTrue="1">
      <formula>AND(AW14,AK14=1)</formula>
    </cfRule>
    <cfRule type="expression" priority="137" dxfId="16" stopIfTrue="1">
      <formula>AND(AW14,AK14=2)</formula>
    </cfRule>
    <cfRule type="expression" priority="140" dxfId="5" stopIfTrue="1">
      <formula>OR(BE14,BF14)</formula>
    </cfRule>
    <cfRule type="expression" priority="143" dxfId="4" stopIfTrue="1">
      <formula>NOT(OR(BE14,BF14))</formula>
    </cfRule>
  </conditionalFormatting>
  <conditionalFormatting sqref="X14">
    <cfRule type="expression" priority="132" dxfId="5" stopIfTrue="1">
      <formula>L14=""</formula>
    </cfRule>
    <cfRule type="expression" priority="135" dxfId="5" stopIfTrue="1">
      <formula>AND(AW14,AK14=1)</formula>
    </cfRule>
    <cfRule type="expression" priority="138" dxfId="16" stopIfTrue="1">
      <formula>AND(AW14,AK14=2)</formula>
    </cfRule>
    <cfRule type="expression" priority="141" dxfId="5" stopIfTrue="1">
      <formula>OR(BE14,BF14)</formula>
    </cfRule>
    <cfRule type="expression" priority="144" dxfId="4" stopIfTrue="1">
      <formula>NOT(OR(BE14,BF14))</formula>
    </cfRule>
  </conditionalFormatting>
  <conditionalFormatting sqref="Y14">
    <cfRule type="expression" priority="133" dxfId="5" stopIfTrue="1">
      <formula>L14=""</formula>
    </cfRule>
  </conditionalFormatting>
  <conditionalFormatting sqref="Y14">
    <cfRule type="expression" priority="136" dxfId="5" stopIfTrue="1">
      <formula>AND(AW14,AK14=1)</formula>
    </cfRule>
  </conditionalFormatting>
  <conditionalFormatting sqref="Y14">
    <cfRule type="expression" priority="139" dxfId="16" stopIfTrue="1">
      <formula>AND(AW14,AK14=2)</formula>
    </cfRule>
  </conditionalFormatting>
  <conditionalFormatting sqref="Y14">
    <cfRule type="expression" priority="142" dxfId="5" stopIfTrue="1">
      <formula>OR(BE14,BF14)</formula>
    </cfRule>
  </conditionalFormatting>
  <conditionalFormatting sqref="Y14">
    <cfRule type="expression" priority="145" dxfId="4" stopIfTrue="1">
      <formula>NOT(OR(BE14,BF14))</formula>
    </cfRule>
  </conditionalFormatting>
  <conditionalFormatting sqref="L15">
    <cfRule type="expression" priority="146" dxfId="5" stopIfTrue="1">
      <formula>L15=""</formula>
    </cfRule>
    <cfRule type="expression" priority="149" dxfId="5" stopIfTrue="1">
      <formula>AND(AW15,AK15=1)</formula>
    </cfRule>
    <cfRule type="expression" priority="152" dxfId="16" stopIfTrue="1">
      <formula>AND(AW15,AK15=2)</formula>
    </cfRule>
    <cfRule type="expression" priority="155" dxfId="5" stopIfTrue="1">
      <formula>OR(BE15,BF15)</formula>
    </cfRule>
    <cfRule type="expression" priority="158" dxfId="4" stopIfTrue="1">
      <formula>NOT(OR(BE15,BF15))</formula>
    </cfRule>
  </conditionalFormatting>
  <conditionalFormatting sqref="X15">
    <cfRule type="expression" priority="147" dxfId="5" stopIfTrue="1">
      <formula>L15=""</formula>
    </cfRule>
    <cfRule type="expression" priority="150" dxfId="5" stopIfTrue="1">
      <formula>AND(AW15,AK15=1)</formula>
    </cfRule>
    <cfRule type="expression" priority="153" dxfId="16" stopIfTrue="1">
      <formula>AND(AW15,AK15=2)</formula>
    </cfRule>
    <cfRule type="expression" priority="156" dxfId="5" stopIfTrue="1">
      <formula>OR(BE15,BF15)</formula>
    </cfRule>
    <cfRule type="expression" priority="159" dxfId="4" stopIfTrue="1">
      <formula>NOT(OR(BE15,BF15))</formula>
    </cfRule>
  </conditionalFormatting>
  <conditionalFormatting sqref="Y15">
    <cfRule type="expression" priority="148" dxfId="5" stopIfTrue="1">
      <formula>L15=""</formula>
    </cfRule>
  </conditionalFormatting>
  <conditionalFormatting sqref="Y15">
    <cfRule type="expression" priority="151" dxfId="5" stopIfTrue="1">
      <formula>AND(AW15,AK15=1)</formula>
    </cfRule>
  </conditionalFormatting>
  <conditionalFormatting sqref="Y15">
    <cfRule type="expression" priority="154" dxfId="16" stopIfTrue="1">
      <formula>AND(AW15,AK15=2)</formula>
    </cfRule>
  </conditionalFormatting>
  <conditionalFormatting sqref="Y15">
    <cfRule type="expression" priority="157" dxfId="5" stopIfTrue="1">
      <formula>OR(BE15,BF15)</formula>
    </cfRule>
  </conditionalFormatting>
  <conditionalFormatting sqref="Y15">
    <cfRule type="expression" priority="160" dxfId="4" stopIfTrue="1">
      <formula>NOT(OR(BE15,BF15))</formula>
    </cfRule>
  </conditionalFormatting>
  <conditionalFormatting sqref="L16">
    <cfRule type="expression" priority="161" dxfId="5" stopIfTrue="1">
      <formula>L16=""</formula>
    </cfRule>
    <cfRule type="expression" priority="164" dxfId="5" stopIfTrue="1">
      <formula>AND(AW16,AK16=1)</formula>
    </cfRule>
    <cfRule type="expression" priority="167" dxfId="16" stopIfTrue="1">
      <formula>AND(AW16,AK16=2)</formula>
    </cfRule>
    <cfRule type="expression" priority="170" dxfId="5" stopIfTrue="1">
      <formula>OR(BE16,BF16)</formula>
    </cfRule>
    <cfRule type="expression" priority="173" dxfId="4" stopIfTrue="1">
      <formula>NOT(OR(BE16,BF16))</formula>
    </cfRule>
  </conditionalFormatting>
  <conditionalFormatting sqref="X16">
    <cfRule type="expression" priority="162" dxfId="5" stopIfTrue="1">
      <formula>L16=""</formula>
    </cfRule>
  </conditionalFormatting>
  <conditionalFormatting sqref="Y16">
    <cfRule type="expression" priority="163" dxfId="5" stopIfTrue="1">
      <formula>L16=""</formula>
    </cfRule>
  </conditionalFormatting>
  <conditionalFormatting sqref="X16">
    <cfRule type="expression" priority="165" dxfId="5" stopIfTrue="1">
      <formula>AND(AW16,AK16=1)</formula>
    </cfRule>
  </conditionalFormatting>
  <conditionalFormatting sqref="Y16">
    <cfRule type="expression" priority="166" dxfId="5" stopIfTrue="1">
      <formula>AND(AW16,AK16=1)</formula>
    </cfRule>
  </conditionalFormatting>
  <conditionalFormatting sqref="X16">
    <cfRule type="expression" priority="168" dxfId="16" stopIfTrue="1">
      <formula>AND(AW16,AK16=2)</formula>
    </cfRule>
  </conditionalFormatting>
  <conditionalFormatting sqref="Y16">
    <cfRule type="expression" priority="169" dxfId="16" stopIfTrue="1">
      <formula>AND(AW16,AK16=2)</formula>
    </cfRule>
  </conditionalFormatting>
  <conditionalFormatting sqref="X16">
    <cfRule type="expression" priority="171" dxfId="5" stopIfTrue="1">
      <formula>OR(BE16,BF16)</formula>
    </cfRule>
  </conditionalFormatting>
  <conditionalFormatting sqref="Y16">
    <cfRule type="expression" priority="172" dxfId="5" stopIfTrue="1">
      <formula>OR(BE16,BF16)</formula>
    </cfRule>
  </conditionalFormatting>
  <conditionalFormatting sqref="X16">
    <cfRule type="expression" priority="174" dxfId="4" stopIfTrue="1">
      <formula>NOT(OR(BE16,BF16))</formula>
    </cfRule>
  </conditionalFormatting>
  <conditionalFormatting sqref="Y16">
    <cfRule type="expression" priority="175" dxfId="4" stopIfTrue="1">
      <formula>NOT(OR(BE16,BF16))</formula>
    </cfRule>
  </conditionalFormatting>
  <conditionalFormatting sqref="L17">
    <cfRule type="expression" priority="176" dxfId="5" stopIfTrue="1">
      <formula>L17=""</formula>
    </cfRule>
    <cfRule type="expression" priority="179" dxfId="5" stopIfTrue="1">
      <formula>AND(AW17,AK17=1)</formula>
    </cfRule>
    <cfRule type="expression" priority="182" dxfId="16" stopIfTrue="1">
      <formula>AND(AW17,AK17=2)</formula>
    </cfRule>
    <cfRule type="expression" priority="185" dxfId="5" stopIfTrue="1">
      <formula>OR(BE17,BF17)</formula>
    </cfRule>
    <cfRule type="expression" priority="188" dxfId="4" stopIfTrue="1">
      <formula>NOT(OR(BE17,BF17))</formula>
    </cfRule>
  </conditionalFormatting>
  <conditionalFormatting sqref="X17">
    <cfRule type="expression" priority="177" dxfId="5" stopIfTrue="1">
      <formula>L17=""</formula>
    </cfRule>
  </conditionalFormatting>
  <conditionalFormatting sqref="Y17">
    <cfRule type="expression" priority="178" dxfId="5" stopIfTrue="1">
      <formula>L17=""</formula>
    </cfRule>
  </conditionalFormatting>
  <conditionalFormatting sqref="X17">
    <cfRule type="expression" priority="180" dxfId="5" stopIfTrue="1">
      <formula>AND(AW17,AK17=1)</formula>
    </cfRule>
  </conditionalFormatting>
  <conditionalFormatting sqref="Y17">
    <cfRule type="expression" priority="181" dxfId="5" stopIfTrue="1">
      <formula>AND(AW17,AK17=1)</formula>
    </cfRule>
  </conditionalFormatting>
  <conditionalFormatting sqref="X17">
    <cfRule type="expression" priority="183" dxfId="16" stopIfTrue="1">
      <formula>AND(AW17,AK17=2)</formula>
    </cfRule>
  </conditionalFormatting>
  <conditionalFormatting sqref="Y17">
    <cfRule type="expression" priority="184" dxfId="16" stopIfTrue="1">
      <formula>AND(AW17,AK17=2)</formula>
    </cfRule>
  </conditionalFormatting>
  <conditionalFormatting sqref="X17">
    <cfRule type="expression" priority="186" dxfId="5" stopIfTrue="1">
      <formula>OR(BE17,BF17)</formula>
    </cfRule>
  </conditionalFormatting>
  <conditionalFormatting sqref="Y17">
    <cfRule type="expression" priority="187" dxfId="5" stopIfTrue="1">
      <formula>OR(BE17,BF17)</formula>
    </cfRule>
  </conditionalFormatting>
  <conditionalFormatting sqref="X17">
    <cfRule type="expression" priority="189" dxfId="4" stopIfTrue="1">
      <formula>NOT(OR(BE17,BF17))</formula>
    </cfRule>
  </conditionalFormatting>
  <conditionalFormatting sqref="Y17">
    <cfRule type="expression" priority="190" dxfId="4" stopIfTrue="1">
      <formula>NOT(OR(BE17,BF17))</formula>
    </cfRule>
  </conditionalFormatting>
  <conditionalFormatting sqref="L18">
    <cfRule type="expression" priority="191" dxfId="5" stopIfTrue="1">
      <formula>L18=""</formula>
    </cfRule>
  </conditionalFormatting>
  <conditionalFormatting sqref="X18">
    <cfRule type="expression" priority="192" dxfId="5" stopIfTrue="1">
      <formula>L18=""</formula>
    </cfRule>
  </conditionalFormatting>
  <conditionalFormatting sqref="Y18">
    <cfRule type="expression" priority="193" dxfId="5" stopIfTrue="1">
      <formula>L18=""</formula>
    </cfRule>
  </conditionalFormatting>
  <conditionalFormatting sqref="L19">
    <cfRule type="expression" priority="194" dxfId="5" stopIfTrue="1">
      <formula>L19=""</formula>
    </cfRule>
  </conditionalFormatting>
  <conditionalFormatting sqref="X19">
    <cfRule type="expression" priority="195" dxfId="5" stopIfTrue="1">
      <formula>L19=""</formula>
    </cfRule>
  </conditionalFormatting>
  <conditionalFormatting sqref="Y19">
    <cfRule type="expression" priority="196" dxfId="5" stopIfTrue="1">
      <formula>L19=""</formula>
    </cfRule>
  </conditionalFormatting>
  <conditionalFormatting sqref="L20">
    <cfRule type="expression" priority="197" dxfId="5" stopIfTrue="1">
      <formula>L20=""</formula>
    </cfRule>
  </conditionalFormatting>
  <conditionalFormatting sqref="X20">
    <cfRule type="expression" priority="198" dxfId="5" stopIfTrue="1">
      <formula>L20=""</formula>
    </cfRule>
  </conditionalFormatting>
  <conditionalFormatting sqref="Y20">
    <cfRule type="expression" priority="199" dxfId="5" stopIfTrue="1">
      <formula>L20=""</formula>
    </cfRule>
  </conditionalFormatting>
  <conditionalFormatting sqref="L21">
    <cfRule type="expression" priority="200" dxfId="5" stopIfTrue="1">
      <formula>L21=""</formula>
    </cfRule>
  </conditionalFormatting>
  <conditionalFormatting sqref="X21">
    <cfRule type="expression" priority="201" dxfId="5" stopIfTrue="1">
      <formula>L21=""</formula>
    </cfRule>
  </conditionalFormatting>
  <conditionalFormatting sqref="Y21">
    <cfRule type="expression" priority="202" dxfId="5" stopIfTrue="1">
      <formula>L21=""</formula>
    </cfRule>
  </conditionalFormatting>
  <conditionalFormatting sqref="L22">
    <cfRule type="expression" priority="203" dxfId="5" stopIfTrue="1">
      <formula>L22=""</formula>
    </cfRule>
  </conditionalFormatting>
  <conditionalFormatting sqref="X22">
    <cfRule type="expression" priority="204" dxfId="5" stopIfTrue="1">
      <formula>L22=""</formula>
    </cfRule>
  </conditionalFormatting>
  <conditionalFormatting sqref="Y22">
    <cfRule type="expression" priority="205" dxfId="5" stopIfTrue="1">
      <formula>L22=""</formula>
    </cfRule>
  </conditionalFormatting>
  <conditionalFormatting sqref="L23">
    <cfRule type="expression" priority="206" dxfId="5" stopIfTrue="1">
      <formula>L23=""</formula>
    </cfRule>
  </conditionalFormatting>
  <conditionalFormatting sqref="X23">
    <cfRule type="expression" priority="207" dxfId="5" stopIfTrue="1">
      <formula>L23=""</formula>
    </cfRule>
  </conditionalFormatting>
  <conditionalFormatting sqref="Y23">
    <cfRule type="expression" priority="208" dxfId="5" stopIfTrue="1">
      <formula>L23=""</formula>
    </cfRule>
  </conditionalFormatting>
  <conditionalFormatting sqref="X24">
    <cfRule type="expression" priority="210" dxfId="5" stopIfTrue="1">
      <formula>L24=""</formula>
    </cfRule>
  </conditionalFormatting>
  <conditionalFormatting sqref="Y24">
    <cfRule type="expression" priority="211" dxfId="5" stopIfTrue="1">
      <formula>L24=""</formula>
    </cfRule>
  </conditionalFormatting>
  <conditionalFormatting sqref="L25">
    <cfRule type="expression" priority="212" dxfId="5" stopIfTrue="1">
      <formula>L25=""</formula>
    </cfRule>
    <cfRule type="expression" priority="215" dxfId="5" stopIfTrue="1">
      <formula>AND(AW25,AK25=1)</formula>
    </cfRule>
    <cfRule type="expression" priority="218" dxfId="16" stopIfTrue="1">
      <formula>AND(AW25,AK25=2)</formula>
    </cfRule>
    <cfRule type="expression" priority="221" dxfId="5" stopIfTrue="1">
      <formula>OR(BE25,BF25)</formula>
    </cfRule>
    <cfRule type="expression" priority="224" dxfId="4" stopIfTrue="1">
      <formula>NOT(OR(BE25,BF25))</formula>
    </cfRule>
  </conditionalFormatting>
  <conditionalFormatting sqref="X25">
    <cfRule type="expression" priority="213" dxfId="5" stopIfTrue="1">
      <formula>L25=""</formula>
    </cfRule>
  </conditionalFormatting>
  <conditionalFormatting sqref="Y25">
    <cfRule type="expression" priority="214" dxfId="5" stopIfTrue="1">
      <formula>L25=""</formula>
    </cfRule>
  </conditionalFormatting>
  <conditionalFormatting sqref="X25">
    <cfRule type="expression" priority="216" dxfId="5" stopIfTrue="1">
      <formula>AND(AW25,AK25=1)</formula>
    </cfRule>
  </conditionalFormatting>
  <conditionalFormatting sqref="Y25">
    <cfRule type="expression" priority="217" dxfId="5" stopIfTrue="1">
      <formula>AND(AW25,AK25=1)</formula>
    </cfRule>
  </conditionalFormatting>
  <conditionalFormatting sqref="X25">
    <cfRule type="expression" priority="219" dxfId="16" stopIfTrue="1">
      <formula>AND(AW25,AK25=2)</formula>
    </cfRule>
  </conditionalFormatting>
  <conditionalFormatting sqref="Y25">
    <cfRule type="expression" priority="220" dxfId="16" stopIfTrue="1">
      <formula>AND(AW25,AK25=2)</formula>
    </cfRule>
  </conditionalFormatting>
  <conditionalFormatting sqref="X25">
    <cfRule type="expression" priority="222" dxfId="5" stopIfTrue="1">
      <formula>OR(BE25,BF25)</formula>
    </cfRule>
  </conditionalFormatting>
  <conditionalFormatting sqref="Y25">
    <cfRule type="expression" priority="223" dxfId="5" stopIfTrue="1">
      <formula>OR(BE25,BF25)</formula>
    </cfRule>
  </conditionalFormatting>
  <conditionalFormatting sqref="X25">
    <cfRule type="expression" priority="225" dxfId="4" stopIfTrue="1">
      <formula>NOT(OR(BE25,BF25))</formula>
    </cfRule>
  </conditionalFormatting>
  <conditionalFormatting sqref="Y25">
    <cfRule type="expression" priority="226" dxfId="4" stopIfTrue="1">
      <formula>NOT(OR(BE25,BF25))</formula>
    </cfRule>
  </conditionalFormatting>
  <conditionalFormatting sqref="L26">
    <cfRule type="expression" priority="227" dxfId="5" stopIfTrue="1">
      <formula>L26=""</formula>
    </cfRule>
  </conditionalFormatting>
  <conditionalFormatting sqref="X26">
    <cfRule type="expression" priority="228" dxfId="5" stopIfTrue="1">
      <formula>L26=""</formula>
    </cfRule>
  </conditionalFormatting>
  <conditionalFormatting sqref="Y26">
    <cfRule type="expression" priority="229" dxfId="5" stopIfTrue="1">
      <formula>L26=""</formula>
    </cfRule>
  </conditionalFormatting>
  <conditionalFormatting sqref="L27">
    <cfRule type="expression" priority="230" dxfId="5" stopIfTrue="1">
      <formula>L27=""</formula>
    </cfRule>
  </conditionalFormatting>
  <conditionalFormatting sqref="X27">
    <cfRule type="expression" priority="231" dxfId="5" stopIfTrue="1">
      <formula>L27=""</formula>
    </cfRule>
  </conditionalFormatting>
  <conditionalFormatting sqref="Y27">
    <cfRule type="expression" priority="232" dxfId="5" stopIfTrue="1">
      <formula>L27=""</formula>
    </cfRule>
  </conditionalFormatting>
  <conditionalFormatting sqref="L28">
    <cfRule type="expression" priority="233" dxfId="5" stopIfTrue="1">
      <formula>L28=""</formula>
    </cfRule>
  </conditionalFormatting>
  <conditionalFormatting sqref="X28">
    <cfRule type="expression" priority="234" dxfId="5" stopIfTrue="1">
      <formula>L28=""</formula>
    </cfRule>
  </conditionalFormatting>
  <conditionalFormatting sqref="Y28">
    <cfRule type="expression" priority="235" dxfId="5" stopIfTrue="1">
      <formula>L28=""</formula>
    </cfRule>
  </conditionalFormatting>
  <conditionalFormatting sqref="L29">
    <cfRule type="expression" priority="236" dxfId="5" stopIfTrue="1">
      <formula>L29=""</formula>
    </cfRule>
  </conditionalFormatting>
  <conditionalFormatting sqref="X29">
    <cfRule type="expression" priority="237" dxfId="5" stopIfTrue="1">
      <formula>L29=""</formula>
    </cfRule>
  </conditionalFormatting>
  <conditionalFormatting sqref="Y29">
    <cfRule type="expression" priority="238" dxfId="5" stopIfTrue="1">
      <formula>L29=""</formula>
    </cfRule>
  </conditionalFormatting>
  <conditionalFormatting sqref="L30">
    <cfRule type="expression" priority="239" dxfId="5" stopIfTrue="1">
      <formula>L30=""</formula>
    </cfRule>
  </conditionalFormatting>
  <conditionalFormatting sqref="X30">
    <cfRule type="expression" priority="240" dxfId="5" stopIfTrue="1">
      <formula>L30=""</formula>
    </cfRule>
  </conditionalFormatting>
  <conditionalFormatting sqref="Y30">
    <cfRule type="expression" priority="241" dxfId="5" stopIfTrue="1">
      <formula>L30=""</formula>
    </cfRule>
  </conditionalFormatting>
  <conditionalFormatting sqref="L30">
    <cfRule type="expression" priority="242" dxfId="5" stopIfTrue="1">
      <formula>AND(AW30,AK30=1)</formula>
    </cfRule>
  </conditionalFormatting>
  <conditionalFormatting sqref="X30">
    <cfRule type="expression" priority="243" dxfId="5" stopIfTrue="1">
      <formula>AND(AW30,AK30=1)</formula>
    </cfRule>
  </conditionalFormatting>
  <conditionalFormatting sqref="Y30">
    <cfRule type="expression" priority="244" dxfId="5" stopIfTrue="1">
      <formula>AND(AW30,AK30=1)</formula>
    </cfRule>
  </conditionalFormatting>
  <conditionalFormatting sqref="L30">
    <cfRule type="expression" priority="245" dxfId="16" stopIfTrue="1">
      <formula>AND(AW30,AK30=2)</formula>
    </cfRule>
  </conditionalFormatting>
  <conditionalFormatting sqref="X30">
    <cfRule type="expression" priority="246" dxfId="16" stopIfTrue="1">
      <formula>AND(AW30,AK30=2)</formula>
    </cfRule>
  </conditionalFormatting>
  <conditionalFormatting sqref="Y30">
    <cfRule type="expression" priority="247" dxfId="16" stopIfTrue="1">
      <formula>AND(AW30,AK30=2)</formula>
    </cfRule>
  </conditionalFormatting>
  <conditionalFormatting sqref="L30">
    <cfRule type="expression" priority="248" dxfId="5" stopIfTrue="1">
      <formula>OR(BE30,BF30)</formula>
    </cfRule>
  </conditionalFormatting>
  <conditionalFormatting sqref="X30">
    <cfRule type="expression" priority="249" dxfId="5" stopIfTrue="1">
      <formula>OR(BE30,BF30)</formula>
    </cfRule>
  </conditionalFormatting>
  <conditionalFormatting sqref="Y30">
    <cfRule type="expression" priority="250" dxfId="5" stopIfTrue="1">
      <formula>OR(BE30,BF30)</formula>
    </cfRule>
  </conditionalFormatting>
  <conditionalFormatting sqref="L30">
    <cfRule type="expression" priority="251" dxfId="4" stopIfTrue="1">
      <formula>NOT(OR(BE30,BF30))</formula>
    </cfRule>
  </conditionalFormatting>
  <conditionalFormatting sqref="X30">
    <cfRule type="expression" priority="252" dxfId="4" stopIfTrue="1">
      <formula>NOT(OR(BE30,BF30))</formula>
    </cfRule>
  </conditionalFormatting>
  <conditionalFormatting sqref="Y30">
    <cfRule type="expression" priority="253" dxfId="4" stopIfTrue="1">
      <formula>NOT(OR(BE30,BF30))</formula>
    </cfRule>
  </conditionalFormatting>
  <conditionalFormatting sqref="L31">
    <cfRule type="expression" priority="254" dxfId="5" stopIfTrue="1">
      <formula>L31=""</formula>
    </cfRule>
  </conditionalFormatting>
  <conditionalFormatting sqref="X31">
    <cfRule type="expression" priority="255" dxfId="5" stopIfTrue="1">
      <formula>L31=""</formula>
    </cfRule>
  </conditionalFormatting>
  <conditionalFormatting sqref="Y31">
    <cfRule type="expression" priority="256" dxfId="5" stopIfTrue="1">
      <formula>L31=""</formula>
    </cfRule>
  </conditionalFormatting>
  <conditionalFormatting sqref="L31">
    <cfRule type="expression" priority="257" dxfId="5" stopIfTrue="1">
      <formula>AND(AW31,AK31=1)</formula>
    </cfRule>
  </conditionalFormatting>
  <conditionalFormatting sqref="X31">
    <cfRule type="expression" priority="258" dxfId="5" stopIfTrue="1">
      <formula>AND(AW31,AK31=1)</formula>
    </cfRule>
  </conditionalFormatting>
  <conditionalFormatting sqref="Y31">
    <cfRule type="expression" priority="259" dxfId="5" stopIfTrue="1">
      <formula>AND(AW31,AK31=1)</formula>
    </cfRule>
  </conditionalFormatting>
  <conditionalFormatting sqref="L31">
    <cfRule type="expression" priority="260" dxfId="16" stopIfTrue="1">
      <formula>AND(AW31,AK31=2)</formula>
    </cfRule>
  </conditionalFormatting>
  <conditionalFormatting sqref="X31">
    <cfRule type="expression" priority="261" dxfId="16" stopIfTrue="1">
      <formula>AND(AW31,AK31=2)</formula>
    </cfRule>
  </conditionalFormatting>
  <conditionalFormatting sqref="Y31">
    <cfRule type="expression" priority="262" dxfId="16" stopIfTrue="1">
      <formula>AND(AW31,AK31=2)</formula>
    </cfRule>
  </conditionalFormatting>
  <conditionalFormatting sqref="L31">
    <cfRule type="expression" priority="263" dxfId="5" stopIfTrue="1">
      <formula>OR(BE31,BF31)</formula>
    </cfRule>
  </conditionalFormatting>
  <conditionalFormatting sqref="X31">
    <cfRule type="expression" priority="264" dxfId="5" stopIfTrue="1">
      <formula>OR(BE31,BF31)</formula>
    </cfRule>
  </conditionalFormatting>
  <conditionalFormatting sqref="Y31">
    <cfRule type="expression" priority="265" dxfId="5" stopIfTrue="1">
      <formula>OR(BE31,BF31)</formula>
    </cfRule>
  </conditionalFormatting>
  <conditionalFormatting sqref="L31">
    <cfRule type="expression" priority="266" dxfId="4" stopIfTrue="1">
      <formula>NOT(OR(BE31,BF31))</formula>
    </cfRule>
  </conditionalFormatting>
  <conditionalFormatting sqref="X31">
    <cfRule type="expression" priority="267" dxfId="4" stopIfTrue="1">
      <formula>NOT(OR(BE31,BF31))</formula>
    </cfRule>
  </conditionalFormatting>
  <conditionalFormatting sqref="Y31">
    <cfRule type="expression" priority="268" dxfId="4" stopIfTrue="1">
      <formula>NOT(OR(BE31,BF31))</formula>
    </cfRule>
  </conditionalFormatting>
  <conditionalFormatting sqref="L32">
    <cfRule type="expression" priority="269" dxfId="5" stopIfTrue="1">
      <formula>L32=""</formula>
    </cfRule>
  </conditionalFormatting>
  <conditionalFormatting sqref="X32">
    <cfRule type="expression" priority="270" dxfId="5" stopIfTrue="1">
      <formula>L32=""</formula>
    </cfRule>
  </conditionalFormatting>
  <conditionalFormatting sqref="Y32">
    <cfRule type="expression" priority="271" dxfId="5" stopIfTrue="1">
      <formula>L32=""</formula>
    </cfRule>
  </conditionalFormatting>
  <conditionalFormatting sqref="L32">
    <cfRule type="expression" priority="272" dxfId="5" stopIfTrue="1">
      <formula>AND(AW32,AK32=1)</formula>
    </cfRule>
  </conditionalFormatting>
  <conditionalFormatting sqref="X32">
    <cfRule type="expression" priority="273" dxfId="5" stopIfTrue="1">
      <formula>AND(AW32,AK32=1)</formula>
    </cfRule>
  </conditionalFormatting>
  <conditionalFormatting sqref="Y32">
    <cfRule type="expression" priority="274" dxfId="5" stopIfTrue="1">
      <formula>AND(AW32,AK32=1)</formula>
    </cfRule>
  </conditionalFormatting>
  <conditionalFormatting sqref="L32">
    <cfRule type="expression" priority="275" dxfId="16" stopIfTrue="1">
      <formula>AND(AW32,AK32=2)</formula>
    </cfRule>
  </conditionalFormatting>
  <conditionalFormatting sqref="X32">
    <cfRule type="expression" priority="276" dxfId="16" stopIfTrue="1">
      <formula>AND(AW32,AK32=2)</formula>
    </cfRule>
  </conditionalFormatting>
  <conditionalFormatting sqref="Y32">
    <cfRule type="expression" priority="277" dxfId="16" stopIfTrue="1">
      <formula>AND(AW32,AK32=2)</formula>
    </cfRule>
  </conditionalFormatting>
  <conditionalFormatting sqref="L32">
    <cfRule type="expression" priority="278" dxfId="5" stopIfTrue="1">
      <formula>OR(BE32,BF32)</formula>
    </cfRule>
  </conditionalFormatting>
  <conditionalFormatting sqref="X32">
    <cfRule type="expression" priority="279" dxfId="5" stopIfTrue="1">
      <formula>OR(BE32,BF32)</formula>
    </cfRule>
  </conditionalFormatting>
  <conditionalFormatting sqref="Y32">
    <cfRule type="expression" priority="280" dxfId="5" stopIfTrue="1">
      <formula>OR(BE32,BF32)</formula>
    </cfRule>
  </conditionalFormatting>
  <conditionalFormatting sqref="L32">
    <cfRule type="expression" priority="281" dxfId="4" stopIfTrue="1">
      <formula>NOT(OR(BE32,BF32))</formula>
    </cfRule>
  </conditionalFormatting>
  <conditionalFormatting sqref="X32">
    <cfRule type="expression" priority="282" dxfId="4" stopIfTrue="1">
      <formula>NOT(OR(BE32,BF32))</formula>
    </cfRule>
  </conditionalFormatting>
  <conditionalFormatting sqref="Y32">
    <cfRule type="expression" priority="283" dxfId="4" stopIfTrue="1">
      <formula>NOT(OR(BE32,BF32))</formula>
    </cfRule>
  </conditionalFormatting>
  <conditionalFormatting sqref="L33">
    <cfRule type="expression" priority="284" dxfId="5" stopIfTrue="1">
      <formula>L33=""</formula>
    </cfRule>
  </conditionalFormatting>
  <conditionalFormatting sqref="X33">
    <cfRule type="expression" priority="285" dxfId="5" stopIfTrue="1">
      <formula>L33=""</formula>
    </cfRule>
  </conditionalFormatting>
  <conditionalFormatting sqref="Y33">
    <cfRule type="expression" priority="286" dxfId="5" stopIfTrue="1">
      <formula>L33=""</formula>
    </cfRule>
  </conditionalFormatting>
  <conditionalFormatting sqref="L33">
    <cfRule type="expression" priority="287" dxfId="5" stopIfTrue="1">
      <formula>AND(AW33,AK33=1)</formula>
    </cfRule>
  </conditionalFormatting>
  <conditionalFormatting sqref="X33">
    <cfRule type="expression" priority="288" dxfId="5" stopIfTrue="1">
      <formula>AND(AW33,AK33=1)</formula>
    </cfRule>
  </conditionalFormatting>
  <conditionalFormatting sqref="Y33">
    <cfRule type="expression" priority="289" dxfId="5" stopIfTrue="1">
      <formula>AND(AW33,AK33=1)</formula>
    </cfRule>
  </conditionalFormatting>
  <conditionalFormatting sqref="L33">
    <cfRule type="expression" priority="290" dxfId="16" stopIfTrue="1">
      <formula>AND(AW33,AK33=2)</formula>
    </cfRule>
  </conditionalFormatting>
  <conditionalFormatting sqref="X33">
    <cfRule type="expression" priority="291" dxfId="16" stopIfTrue="1">
      <formula>AND(AW33,AK33=2)</formula>
    </cfRule>
  </conditionalFormatting>
  <conditionalFormatting sqref="Y33">
    <cfRule type="expression" priority="292" dxfId="16" stopIfTrue="1">
      <formula>AND(AW33,AK33=2)</formula>
    </cfRule>
  </conditionalFormatting>
  <conditionalFormatting sqref="L33">
    <cfRule type="expression" priority="293" dxfId="5" stopIfTrue="1">
      <formula>OR(BE33,BF33)</formula>
    </cfRule>
  </conditionalFormatting>
  <conditionalFormatting sqref="X33">
    <cfRule type="expression" priority="294" dxfId="5" stopIfTrue="1">
      <formula>OR(BE33,BF33)</formula>
    </cfRule>
  </conditionalFormatting>
  <conditionalFormatting sqref="Y33">
    <cfRule type="expression" priority="295" dxfId="5" stopIfTrue="1">
      <formula>OR(BE33,BF33)</formula>
    </cfRule>
  </conditionalFormatting>
  <conditionalFormatting sqref="L33">
    <cfRule type="expression" priority="296" dxfId="4" stopIfTrue="1">
      <formula>NOT(OR(BE33,BF33))</formula>
    </cfRule>
  </conditionalFormatting>
  <conditionalFormatting sqref="X33">
    <cfRule type="expression" priority="297" dxfId="4" stopIfTrue="1">
      <formula>NOT(OR(BE33,BF33))</formula>
    </cfRule>
  </conditionalFormatting>
  <conditionalFormatting sqref="Y33">
    <cfRule type="expression" priority="298" dxfId="4" stopIfTrue="1">
      <formula>NOT(OR(BE33,BF33))</formula>
    </cfRule>
  </conditionalFormatting>
  <conditionalFormatting sqref="L34">
    <cfRule type="expression" priority="299" dxfId="5" stopIfTrue="1">
      <formula>L34=""</formula>
    </cfRule>
  </conditionalFormatting>
  <conditionalFormatting sqref="X34">
    <cfRule type="expression" priority="300" dxfId="5" stopIfTrue="1">
      <formula>L34=""</formula>
    </cfRule>
  </conditionalFormatting>
  <conditionalFormatting sqref="Y34">
    <cfRule type="expression" priority="301" dxfId="5" stopIfTrue="1">
      <formula>L34=""</formula>
    </cfRule>
  </conditionalFormatting>
  <conditionalFormatting sqref="L34">
    <cfRule type="expression" priority="302" dxfId="5" stopIfTrue="1">
      <formula>AND(AW34,AK34=1)</formula>
    </cfRule>
  </conditionalFormatting>
  <conditionalFormatting sqref="X34">
    <cfRule type="expression" priority="303" dxfId="5" stopIfTrue="1">
      <formula>AND(AW34,AK34=1)</formula>
    </cfRule>
  </conditionalFormatting>
  <conditionalFormatting sqref="Y34">
    <cfRule type="expression" priority="304" dxfId="5" stopIfTrue="1">
      <formula>AND(AW34,AK34=1)</formula>
    </cfRule>
  </conditionalFormatting>
  <conditionalFormatting sqref="L34">
    <cfRule type="expression" priority="305" dxfId="16" stopIfTrue="1">
      <formula>AND(AW34,AK34=2)</formula>
    </cfRule>
  </conditionalFormatting>
  <conditionalFormatting sqref="X34">
    <cfRule type="expression" priority="306" dxfId="16" stopIfTrue="1">
      <formula>AND(AW34,AK34=2)</formula>
    </cfRule>
  </conditionalFormatting>
  <conditionalFormatting sqref="Y34">
    <cfRule type="expression" priority="307" dxfId="16" stopIfTrue="1">
      <formula>AND(AW34,AK34=2)</formula>
    </cfRule>
  </conditionalFormatting>
  <conditionalFormatting sqref="L34">
    <cfRule type="expression" priority="308" dxfId="5" stopIfTrue="1">
      <formula>OR(BE34,BF34)</formula>
    </cfRule>
  </conditionalFormatting>
  <conditionalFormatting sqref="X34">
    <cfRule type="expression" priority="309" dxfId="5" stopIfTrue="1">
      <formula>OR(BE34,BF34)</formula>
    </cfRule>
  </conditionalFormatting>
  <conditionalFormatting sqref="Y34">
    <cfRule type="expression" priority="310" dxfId="5" stopIfTrue="1">
      <formula>OR(BE34,BF34)</formula>
    </cfRule>
  </conditionalFormatting>
  <conditionalFormatting sqref="L34">
    <cfRule type="expression" priority="311" dxfId="4" stopIfTrue="1">
      <formula>NOT(OR(BE34,BF34))</formula>
    </cfRule>
  </conditionalFormatting>
  <conditionalFormatting sqref="X34">
    <cfRule type="expression" priority="312" dxfId="4" stopIfTrue="1">
      <formula>NOT(OR(BE34,BF34))</formula>
    </cfRule>
  </conditionalFormatting>
  <conditionalFormatting sqref="Y34">
    <cfRule type="expression" priority="313" dxfId="4" stopIfTrue="1">
      <formula>NOT(OR(BE34,BF34))</formula>
    </cfRule>
  </conditionalFormatting>
  <conditionalFormatting sqref="L35">
    <cfRule type="expression" priority="314" dxfId="5" stopIfTrue="1">
      <formula>L35=""</formula>
    </cfRule>
  </conditionalFormatting>
  <conditionalFormatting sqref="X35">
    <cfRule type="expression" priority="315" dxfId="5" stopIfTrue="1">
      <formula>L35=""</formula>
    </cfRule>
  </conditionalFormatting>
  <conditionalFormatting sqref="Y35">
    <cfRule type="expression" priority="316" dxfId="5" stopIfTrue="1">
      <formula>L35=""</formula>
    </cfRule>
  </conditionalFormatting>
  <conditionalFormatting sqref="L35">
    <cfRule type="expression" priority="317" dxfId="5" stopIfTrue="1">
      <formula>AND(AW35,AK35=1)</formula>
    </cfRule>
  </conditionalFormatting>
  <conditionalFormatting sqref="X35">
    <cfRule type="expression" priority="318" dxfId="5" stopIfTrue="1">
      <formula>AND(AW35,AK35=1)</formula>
    </cfRule>
  </conditionalFormatting>
  <conditionalFormatting sqref="Y35">
    <cfRule type="expression" priority="319" dxfId="5" stopIfTrue="1">
      <formula>AND(AW35,AK35=1)</formula>
    </cfRule>
  </conditionalFormatting>
  <conditionalFormatting sqref="L35">
    <cfRule type="expression" priority="320" dxfId="16" stopIfTrue="1">
      <formula>AND(AW35,AK35=2)</formula>
    </cfRule>
  </conditionalFormatting>
  <conditionalFormatting sqref="X35">
    <cfRule type="expression" priority="321" dxfId="16" stopIfTrue="1">
      <formula>AND(AW35,AK35=2)</formula>
    </cfRule>
  </conditionalFormatting>
  <conditionalFormatting sqref="Y35">
    <cfRule type="expression" priority="322" dxfId="16" stopIfTrue="1">
      <formula>AND(AW35,AK35=2)</formula>
    </cfRule>
  </conditionalFormatting>
  <conditionalFormatting sqref="L35">
    <cfRule type="expression" priority="323" dxfId="5" stopIfTrue="1">
      <formula>OR(BE35,BF35)</formula>
    </cfRule>
  </conditionalFormatting>
  <conditionalFormatting sqref="X35">
    <cfRule type="expression" priority="324" dxfId="5" stopIfTrue="1">
      <formula>OR(BE35,BF35)</formula>
    </cfRule>
  </conditionalFormatting>
  <conditionalFormatting sqref="Y35">
    <cfRule type="expression" priority="325" dxfId="5" stopIfTrue="1">
      <formula>OR(BE35,BF35)</formula>
    </cfRule>
  </conditionalFormatting>
  <conditionalFormatting sqref="L35">
    <cfRule type="expression" priority="326" dxfId="4" stopIfTrue="1">
      <formula>NOT(OR(BE35,BF35))</formula>
    </cfRule>
  </conditionalFormatting>
  <conditionalFormatting sqref="X35">
    <cfRule type="expression" priority="327" dxfId="4" stopIfTrue="1">
      <formula>NOT(OR(BE35,BF35))</formula>
    </cfRule>
  </conditionalFormatting>
  <conditionalFormatting sqref="Y35">
    <cfRule type="expression" priority="328" dxfId="4" stopIfTrue="1">
      <formula>NOT(OR(BE35,BF35))</formula>
    </cfRule>
  </conditionalFormatting>
  <conditionalFormatting sqref="L36">
    <cfRule type="expression" priority="329" dxfId="5" stopIfTrue="1">
      <formula>L36=""</formula>
    </cfRule>
  </conditionalFormatting>
  <conditionalFormatting sqref="X36">
    <cfRule type="expression" priority="330" dxfId="5" stopIfTrue="1">
      <formula>L36=""</formula>
    </cfRule>
  </conditionalFormatting>
  <conditionalFormatting sqref="Y36">
    <cfRule type="expression" priority="331" dxfId="5" stopIfTrue="1">
      <formula>L36=""</formula>
    </cfRule>
  </conditionalFormatting>
  <conditionalFormatting sqref="L36">
    <cfRule type="expression" priority="332" dxfId="5" stopIfTrue="1">
      <formula>AND(AW36,AK36=1)</formula>
    </cfRule>
  </conditionalFormatting>
  <conditionalFormatting sqref="X36">
    <cfRule type="expression" priority="333" dxfId="5" stopIfTrue="1">
      <formula>AND(AW36,AK36=1)</formula>
    </cfRule>
  </conditionalFormatting>
  <conditionalFormatting sqref="Y36">
    <cfRule type="expression" priority="334" dxfId="5" stopIfTrue="1">
      <formula>AND(AW36,AK36=1)</formula>
    </cfRule>
  </conditionalFormatting>
  <conditionalFormatting sqref="L36">
    <cfRule type="expression" priority="335" dxfId="16" stopIfTrue="1">
      <formula>AND(AW36,AK36=2)</formula>
    </cfRule>
  </conditionalFormatting>
  <conditionalFormatting sqref="X36">
    <cfRule type="expression" priority="336" dxfId="16" stopIfTrue="1">
      <formula>AND(AW36,AK36=2)</formula>
    </cfRule>
  </conditionalFormatting>
  <conditionalFormatting sqref="Y36">
    <cfRule type="expression" priority="337" dxfId="16" stopIfTrue="1">
      <formula>AND(AW36,AK36=2)</formula>
    </cfRule>
  </conditionalFormatting>
  <conditionalFormatting sqref="L36">
    <cfRule type="expression" priority="338" dxfId="5" stopIfTrue="1">
      <formula>OR(BE36,BF36)</formula>
    </cfRule>
  </conditionalFormatting>
  <conditionalFormatting sqref="X36">
    <cfRule type="expression" priority="339" dxfId="5" stopIfTrue="1">
      <formula>OR(BE36,BF36)</formula>
    </cfRule>
  </conditionalFormatting>
  <conditionalFormatting sqref="Y36">
    <cfRule type="expression" priority="340" dxfId="5" stopIfTrue="1">
      <formula>OR(BE36,BF36)</formula>
    </cfRule>
  </conditionalFormatting>
  <conditionalFormatting sqref="L36">
    <cfRule type="expression" priority="341" dxfId="4" stopIfTrue="1">
      <formula>NOT(OR(BE36,BF36))</formula>
    </cfRule>
  </conditionalFormatting>
  <conditionalFormatting sqref="X36">
    <cfRule type="expression" priority="342" dxfId="4" stopIfTrue="1">
      <formula>NOT(OR(BE36,BF36))</formula>
    </cfRule>
  </conditionalFormatting>
  <conditionalFormatting sqref="Y36">
    <cfRule type="expression" priority="343" dxfId="4" stopIfTrue="1">
      <formula>NOT(OR(BE36,BF36))</formula>
    </cfRule>
  </conditionalFormatting>
  <conditionalFormatting sqref="L37">
    <cfRule type="expression" priority="344" dxfId="5" stopIfTrue="1">
      <formula>L37=""</formula>
    </cfRule>
  </conditionalFormatting>
  <conditionalFormatting sqref="X37">
    <cfRule type="expression" priority="345" dxfId="5" stopIfTrue="1">
      <formula>L37=""</formula>
    </cfRule>
  </conditionalFormatting>
  <conditionalFormatting sqref="Y37">
    <cfRule type="expression" priority="346" dxfId="5" stopIfTrue="1">
      <formula>L37=""</formula>
    </cfRule>
  </conditionalFormatting>
  <conditionalFormatting sqref="L37">
    <cfRule type="expression" priority="347" dxfId="5" stopIfTrue="1">
      <formula>AND(AW37,AK37=1)</formula>
    </cfRule>
  </conditionalFormatting>
  <conditionalFormatting sqref="X37">
    <cfRule type="expression" priority="348" dxfId="5" stopIfTrue="1">
      <formula>AND(AW37,AK37=1)</formula>
    </cfRule>
  </conditionalFormatting>
  <conditionalFormatting sqref="Y37">
    <cfRule type="expression" priority="349" dxfId="5" stopIfTrue="1">
      <formula>AND(AW37,AK37=1)</formula>
    </cfRule>
  </conditionalFormatting>
  <conditionalFormatting sqref="L37">
    <cfRule type="expression" priority="350" dxfId="16" stopIfTrue="1">
      <formula>AND(AW37,AK37=2)</formula>
    </cfRule>
  </conditionalFormatting>
  <conditionalFormatting sqref="X37">
    <cfRule type="expression" priority="351" dxfId="16" stopIfTrue="1">
      <formula>AND(AW37,AK37=2)</formula>
    </cfRule>
  </conditionalFormatting>
  <conditionalFormatting sqref="Y37">
    <cfRule type="expression" priority="352" dxfId="16" stopIfTrue="1">
      <formula>AND(AW37,AK37=2)</formula>
    </cfRule>
  </conditionalFormatting>
  <conditionalFormatting sqref="L37">
    <cfRule type="expression" priority="353" dxfId="5" stopIfTrue="1">
      <formula>OR(BE37,BF37)</formula>
    </cfRule>
  </conditionalFormatting>
  <conditionalFormatting sqref="X37">
    <cfRule type="expression" priority="354" dxfId="5" stopIfTrue="1">
      <formula>OR(BE37,BF37)</formula>
    </cfRule>
  </conditionalFormatting>
  <conditionalFormatting sqref="Y37">
    <cfRule type="expression" priority="355" dxfId="5" stopIfTrue="1">
      <formula>OR(BE37,BF37)</formula>
    </cfRule>
  </conditionalFormatting>
  <conditionalFormatting sqref="L37">
    <cfRule type="expression" priority="356" dxfId="4" stopIfTrue="1">
      <formula>NOT(OR(BE37,BF37))</formula>
    </cfRule>
  </conditionalFormatting>
  <conditionalFormatting sqref="X37">
    <cfRule type="expression" priority="357" dxfId="4" stopIfTrue="1">
      <formula>NOT(OR(BE37,BF37))</formula>
    </cfRule>
  </conditionalFormatting>
  <conditionalFormatting sqref="Y37">
    <cfRule type="expression" priority="358" dxfId="4" stopIfTrue="1">
      <formula>NOT(OR(BE37,BF37))</formula>
    </cfRule>
  </conditionalFormatting>
  <conditionalFormatting sqref="L38">
    <cfRule type="expression" priority="359" dxfId="5" stopIfTrue="1">
      <formula>L38=""</formula>
    </cfRule>
  </conditionalFormatting>
  <conditionalFormatting sqref="X38">
    <cfRule type="expression" priority="360" dxfId="5" stopIfTrue="1">
      <formula>L38=""</formula>
    </cfRule>
  </conditionalFormatting>
  <conditionalFormatting sqref="Y38">
    <cfRule type="expression" priority="361" dxfId="5" stopIfTrue="1">
      <formula>L38=""</formula>
    </cfRule>
  </conditionalFormatting>
  <conditionalFormatting sqref="L39">
    <cfRule type="expression" priority="362" dxfId="5" stopIfTrue="1">
      <formula>L39=""</formula>
    </cfRule>
  </conditionalFormatting>
  <conditionalFormatting sqref="X39">
    <cfRule type="expression" priority="363" dxfId="5" stopIfTrue="1">
      <formula>L39=""</formula>
    </cfRule>
  </conditionalFormatting>
  <conditionalFormatting sqref="Y39">
    <cfRule type="expression" priority="364" dxfId="5" stopIfTrue="1">
      <formula>L39=""</formula>
    </cfRule>
  </conditionalFormatting>
  <conditionalFormatting sqref="L39">
    <cfRule type="expression" priority="365" dxfId="5" stopIfTrue="1">
      <formula>AND(AW39,AK39=1)</formula>
    </cfRule>
  </conditionalFormatting>
  <conditionalFormatting sqref="X39">
    <cfRule type="expression" priority="366" dxfId="5" stopIfTrue="1">
      <formula>AND(AW39,AK39=1)</formula>
    </cfRule>
  </conditionalFormatting>
  <conditionalFormatting sqref="Y39">
    <cfRule type="expression" priority="367" dxfId="5" stopIfTrue="1">
      <formula>AND(AW39,AK39=1)</formula>
    </cfRule>
  </conditionalFormatting>
  <conditionalFormatting sqref="L39">
    <cfRule type="expression" priority="368" dxfId="16" stopIfTrue="1">
      <formula>AND(AW39,AK39=2)</formula>
    </cfRule>
  </conditionalFormatting>
  <conditionalFormatting sqref="X39">
    <cfRule type="expression" priority="369" dxfId="16" stopIfTrue="1">
      <formula>AND(AW39,AK39=2)</formula>
    </cfRule>
  </conditionalFormatting>
  <conditionalFormatting sqref="Y39">
    <cfRule type="expression" priority="370" dxfId="16" stopIfTrue="1">
      <formula>AND(AW39,AK39=2)</formula>
    </cfRule>
  </conditionalFormatting>
  <conditionalFormatting sqref="L39">
    <cfRule type="expression" priority="371" dxfId="5" stopIfTrue="1">
      <formula>OR(BE39,BF39)</formula>
    </cfRule>
  </conditionalFormatting>
  <conditionalFormatting sqref="X39">
    <cfRule type="expression" priority="372" dxfId="5" stopIfTrue="1">
      <formula>OR(BE39,BF39)</formula>
    </cfRule>
  </conditionalFormatting>
  <conditionalFormatting sqref="Y39">
    <cfRule type="expression" priority="373" dxfId="5" stopIfTrue="1">
      <formula>OR(BE39,BF39)</formula>
    </cfRule>
  </conditionalFormatting>
  <conditionalFormatting sqref="L39">
    <cfRule type="expression" priority="374" dxfId="4" stopIfTrue="1">
      <formula>NOT(OR(BE39,BF39))</formula>
    </cfRule>
  </conditionalFormatting>
  <conditionalFormatting sqref="X39">
    <cfRule type="expression" priority="375" dxfId="4" stopIfTrue="1">
      <formula>NOT(OR(BE39,BF39))</formula>
    </cfRule>
  </conditionalFormatting>
  <conditionalFormatting sqref="Y39">
    <cfRule type="expression" priority="376" dxfId="4" stopIfTrue="1">
      <formula>NOT(OR(BE39,BF39))</formula>
    </cfRule>
  </conditionalFormatting>
  <conditionalFormatting sqref="L40">
    <cfRule type="expression" priority="377" dxfId="5" stopIfTrue="1">
      <formula>L40=""</formula>
    </cfRule>
  </conditionalFormatting>
  <conditionalFormatting sqref="X40">
    <cfRule type="expression" priority="378" dxfId="5" stopIfTrue="1">
      <formula>L40=""</formula>
    </cfRule>
  </conditionalFormatting>
  <conditionalFormatting sqref="Y40">
    <cfRule type="expression" priority="379" dxfId="5" stopIfTrue="1">
      <formula>L40=""</formula>
    </cfRule>
  </conditionalFormatting>
  <conditionalFormatting sqref="L40">
    <cfRule type="expression" priority="380" dxfId="5" stopIfTrue="1">
      <formula>AND(AW40,AK40=1)</formula>
    </cfRule>
  </conditionalFormatting>
  <conditionalFormatting sqref="X40">
    <cfRule type="expression" priority="381" dxfId="5" stopIfTrue="1">
      <formula>AND(AW40,AK40=1)</formula>
    </cfRule>
  </conditionalFormatting>
  <conditionalFormatting sqref="Y40">
    <cfRule type="expression" priority="382" dxfId="5" stopIfTrue="1">
      <formula>AND(AW40,AK40=1)</formula>
    </cfRule>
  </conditionalFormatting>
  <conditionalFormatting sqref="L40">
    <cfRule type="expression" priority="383" dxfId="16" stopIfTrue="1">
      <formula>AND(AW40,AK40=2)</formula>
    </cfRule>
  </conditionalFormatting>
  <conditionalFormatting sqref="X40">
    <cfRule type="expression" priority="384" dxfId="16" stopIfTrue="1">
      <formula>AND(AW40,AK40=2)</formula>
    </cfRule>
  </conditionalFormatting>
  <conditionalFormatting sqref="Y40">
    <cfRule type="expression" priority="385" dxfId="16" stopIfTrue="1">
      <formula>AND(AW40,AK40=2)</formula>
    </cfRule>
  </conditionalFormatting>
  <conditionalFormatting sqref="L40">
    <cfRule type="expression" priority="386" dxfId="5" stopIfTrue="1">
      <formula>OR(BE40,BF40)</formula>
    </cfRule>
  </conditionalFormatting>
  <conditionalFormatting sqref="X40">
    <cfRule type="expression" priority="387" dxfId="5" stopIfTrue="1">
      <formula>OR(BE40,BF40)</formula>
    </cfRule>
  </conditionalFormatting>
  <conditionalFormatting sqref="Y40">
    <cfRule type="expression" priority="388" dxfId="5" stopIfTrue="1">
      <formula>OR(BE40,BF40)</formula>
    </cfRule>
  </conditionalFormatting>
  <conditionalFormatting sqref="L40">
    <cfRule type="expression" priority="389" dxfId="4" stopIfTrue="1">
      <formula>NOT(OR(BE40,BF40))</formula>
    </cfRule>
  </conditionalFormatting>
  <conditionalFormatting sqref="X40">
    <cfRule type="expression" priority="390" dxfId="4" stopIfTrue="1">
      <formula>NOT(OR(BE40,BF40))</formula>
    </cfRule>
  </conditionalFormatting>
  <conditionalFormatting sqref="Y40">
    <cfRule type="expression" priority="391" dxfId="4" stopIfTrue="1">
      <formula>NOT(OR(BE40,BF40))</formula>
    </cfRule>
  </conditionalFormatting>
  <conditionalFormatting sqref="L41">
    <cfRule type="expression" priority="392" dxfId="5" stopIfTrue="1">
      <formula>L41=""</formula>
    </cfRule>
  </conditionalFormatting>
  <conditionalFormatting sqref="X41">
    <cfRule type="expression" priority="393" dxfId="5" stopIfTrue="1">
      <formula>L41=""</formula>
    </cfRule>
  </conditionalFormatting>
  <conditionalFormatting sqref="Y41">
    <cfRule type="expression" priority="394" dxfId="5" stopIfTrue="1">
      <formula>L41=""</formula>
    </cfRule>
  </conditionalFormatting>
  <conditionalFormatting sqref="L41">
    <cfRule type="expression" priority="395" dxfId="5" stopIfTrue="1">
      <formula>AND(AW41,AK41=1)</formula>
    </cfRule>
  </conditionalFormatting>
  <conditionalFormatting sqref="X41">
    <cfRule type="expression" priority="396" dxfId="5" stopIfTrue="1">
      <formula>AND(AW41,AK41=1)</formula>
    </cfRule>
  </conditionalFormatting>
  <conditionalFormatting sqref="Y41">
    <cfRule type="expression" priority="397" dxfId="5" stopIfTrue="1">
      <formula>AND(AW41,AK41=1)</formula>
    </cfRule>
  </conditionalFormatting>
  <conditionalFormatting sqref="L41">
    <cfRule type="expression" priority="398" dxfId="16" stopIfTrue="1">
      <formula>AND(AW41,AK41=2)</formula>
    </cfRule>
  </conditionalFormatting>
  <conditionalFormatting sqref="X41">
    <cfRule type="expression" priority="399" dxfId="16" stopIfTrue="1">
      <formula>AND(AW41,AK41=2)</formula>
    </cfRule>
  </conditionalFormatting>
  <conditionalFormatting sqref="Y41">
    <cfRule type="expression" priority="400" dxfId="16" stopIfTrue="1">
      <formula>AND(AW41,AK41=2)</formula>
    </cfRule>
  </conditionalFormatting>
  <conditionalFormatting sqref="L41">
    <cfRule type="expression" priority="401" dxfId="5" stopIfTrue="1">
      <formula>OR(BE41,BF41)</formula>
    </cfRule>
  </conditionalFormatting>
  <conditionalFormatting sqref="X41">
    <cfRule type="expression" priority="402" dxfId="5" stopIfTrue="1">
      <formula>OR(BE41,BF41)</formula>
    </cfRule>
  </conditionalFormatting>
  <conditionalFormatting sqref="Y41">
    <cfRule type="expression" priority="403" dxfId="5" stopIfTrue="1">
      <formula>OR(BE41,BF41)</formula>
    </cfRule>
  </conditionalFormatting>
  <conditionalFormatting sqref="L41">
    <cfRule type="expression" priority="404" dxfId="4" stopIfTrue="1">
      <formula>NOT(OR(BE41,BF41))</formula>
    </cfRule>
  </conditionalFormatting>
  <conditionalFormatting sqref="X41">
    <cfRule type="expression" priority="405" dxfId="4" stopIfTrue="1">
      <formula>NOT(OR(BE41,BF41))</formula>
    </cfRule>
  </conditionalFormatting>
  <conditionalFormatting sqref="Y41">
    <cfRule type="expression" priority="406" dxfId="4" stopIfTrue="1">
      <formula>NOT(OR(BE41,BF41))</formula>
    </cfRule>
  </conditionalFormatting>
  <conditionalFormatting sqref="L42">
    <cfRule type="expression" priority="407" dxfId="5" stopIfTrue="1">
      <formula>L42=""</formula>
    </cfRule>
  </conditionalFormatting>
  <conditionalFormatting sqref="X42">
    <cfRule type="expression" priority="408" dxfId="5" stopIfTrue="1">
      <formula>L42=""</formula>
    </cfRule>
  </conditionalFormatting>
  <conditionalFormatting sqref="Y42">
    <cfRule type="expression" priority="409" dxfId="5" stopIfTrue="1">
      <formula>L42=""</formula>
    </cfRule>
  </conditionalFormatting>
  <conditionalFormatting sqref="L43">
    <cfRule type="expression" priority="410" dxfId="5" stopIfTrue="1">
      <formula>L43=""</formula>
    </cfRule>
  </conditionalFormatting>
  <conditionalFormatting sqref="X43">
    <cfRule type="expression" priority="411" dxfId="5" stopIfTrue="1">
      <formula>L43=""</formula>
    </cfRule>
  </conditionalFormatting>
  <conditionalFormatting sqref="Y43">
    <cfRule type="expression" priority="412" dxfId="5" stopIfTrue="1">
      <formula>L43=""</formula>
    </cfRule>
  </conditionalFormatting>
  <conditionalFormatting sqref="L43">
    <cfRule type="expression" priority="413" dxfId="5" stopIfTrue="1">
      <formula>AND(AW43,AK43=1)</formula>
    </cfRule>
  </conditionalFormatting>
  <conditionalFormatting sqref="X43">
    <cfRule type="expression" priority="414" dxfId="5" stopIfTrue="1">
      <formula>AND(AW43,AK43=1)</formula>
    </cfRule>
  </conditionalFormatting>
  <conditionalFormatting sqref="Y43">
    <cfRule type="expression" priority="415" dxfId="5" stopIfTrue="1">
      <formula>AND(AW43,AK43=1)</formula>
    </cfRule>
  </conditionalFormatting>
  <conditionalFormatting sqref="L43">
    <cfRule type="expression" priority="416" dxfId="16" stopIfTrue="1">
      <formula>AND(AW43,AK43=2)</formula>
    </cfRule>
  </conditionalFormatting>
  <conditionalFormatting sqref="X43">
    <cfRule type="expression" priority="417" dxfId="16" stopIfTrue="1">
      <formula>AND(AW43,AK43=2)</formula>
    </cfRule>
  </conditionalFormatting>
  <conditionalFormatting sqref="Y43">
    <cfRule type="expression" priority="418" dxfId="16" stopIfTrue="1">
      <formula>AND(AW43,AK43=2)</formula>
    </cfRule>
  </conditionalFormatting>
  <conditionalFormatting sqref="L43">
    <cfRule type="expression" priority="419" dxfId="5" stopIfTrue="1">
      <formula>OR(BE43,BF43)</formula>
    </cfRule>
  </conditionalFormatting>
  <conditionalFormatting sqref="X43">
    <cfRule type="expression" priority="420" dxfId="5" stopIfTrue="1">
      <formula>OR(BE43,BF43)</formula>
    </cfRule>
  </conditionalFormatting>
  <conditionalFormatting sqref="Y43">
    <cfRule type="expression" priority="421" dxfId="5" stopIfTrue="1">
      <formula>OR(BE43,BF43)</formula>
    </cfRule>
  </conditionalFormatting>
  <conditionalFormatting sqref="L43">
    <cfRule type="expression" priority="422" dxfId="4" stopIfTrue="1">
      <formula>NOT(OR(BE43,BF43))</formula>
    </cfRule>
  </conditionalFormatting>
  <conditionalFormatting sqref="X43">
    <cfRule type="expression" priority="423" dxfId="4" stopIfTrue="1">
      <formula>NOT(OR(BE43,BF43))</formula>
    </cfRule>
  </conditionalFormatting>
  <conditionalFormatting sqref="Y43">
    <cfRule type="expression" priority="424" dxfId="4" stopIfTrue="1">
      <formula>NOT(OR(BE43,BF43))</formula>
    </cfRule>
  </conditionalFormatting>
  <conditionalFormatting sqref="L44">
    <cfRule type="expression" priority="425" dxfId="5" stopIfTrue="1">
      <formula>L44=""</formula>
    </cfRule>
  </conditionalFormatting>
  <conditionalFormatting sqref="X44">
    <cfRule type="expression" priority="426" dxfId="5" stopIfTrue="1">
      <formula>L44=""</formula>
    </cfRule>
  </conditionalFormatting>
  <conditionalFormatting sqref="Y44">
    <cfRule type="expression" priority="427" dxfId="5" stopIfTrue="1">
      <formula>L44=""</formula>
    </cfRule>
  </conditionalFormatting>
  <conditionalFormatting sqref="L44">
    <cfRule type="expression" priority="428" dxfId="5" stopIfTrue="1">
      <formula>AND(AW44,AK44=1)</formula>
    </cfRule>
  </conditionalFormatting>
  <conditionalFormatting sqref="X44">
    <cfRule type="expression" priority="429" dxfId="5" stopIfTrue="1">
      <formula>AND(AW44,AK44=1)</formula>
    </cfRule>
  </conditionalFormatting>
  <conditionalFormatting sqref="Y44">
    <cfRule type="expression" priority="430" dxfId="5" stopIfTrue="1">
      <formula>AND(AW44,AK44=1)</formula>
    </cfRule>
  </conditionalFormatting>
  <conditionalFormatting sqref="L44">
    <cfRule type="expression" priority="431" dxfId="16" stopIfTrue="1">
      <formula>AND(AW44,AK44=2)</formula>
    </cfRule>
  </conditionalFormatting>
  <conditionalFormatting sqref="X44">
    <cfRule type="expression" priority="432" dxfId="16" stopIfTrue="1">
      <formula>AND(AW44,AK44=2)</formula>
    </cfRule>
  </conditionalFormatting>
  <conditionalFormatting sqref="Y44">
    <cfRule type="expression" priority="433" dxfId="16" stopIfTrue="1">
      <formula>AND(AW44,AK44=2)</formula>
    </cfRule>
  </conditionalFormatting>
  <conditionalFormatting sqref="L44">
    <cfRule type="expression" priority="434" dxfId="5" stopIfTrue="1">
      <formula>OR(BE44,BF44)</formula>
    </cfRule>
  </conditionalFormatting>
  <conditionalFormatting sqref="X44">
    <cfRule type="expression" priority="435" dxfId="5" stopIfTrue="1">
      <formula>OR(BE44,BF44)</formula>
    </cfRule>
  </conditionalFormatting>
  <conditionalFormatting sqref="Y44">
    <cfRule type="expression" priority="436" dxfId="5" stopIfTrue="1">
      <formula>OR(BE44,BF44)</formula>
    </cfRule>
  </conditionalFormatting>
  <conditionalFormatting sqref="L44">
    <cfRule type="expression" priority="437" dxfId="4" stopIfTrue="1">
      <formula>NOT(OR(BE44,BF44))</formula>
    </cfRule>
  </conditionalFormatting>
  <conditionalFormatting sqref="X44">
    <cfRule type="expression" priority="438" dxfId="4" stopIfTrue="1">
      <formula>NOT(OR(BE44,BF44))</formula>
    </cfRule>
  </conditionalFormatting>
  <conditionalFormatting sqref="Y44">
    <cfRule type="expression" priority="439" dxfId="4" stopIfTrue="1">
      <formula>NOT(OR(BE44,BF44))</formula>
    </cfRule>
  </conditionalFormatting>
  <conditionalFormatting sqref="L45">
    <cfRule type="expression" priority="440" dxfId="5" stopIfTrue="1">
      <formula>L45=""</formula>
    </cfRule>
  </conditionalFormatting>
  <conditionalFormatting sqref="X45">
    <cfRule type="expression" priority="441" dxfId="5" stopIfTrue="1">
      <formula>L45=""</formula>
    </cfRule>
  </conditionalFormatting>
  <conditionalFormatting sqref="Y45">
    <cfRule type="expression" priority="442" dxfId="5" stopIfTrue="1">
      <formula>L45=""</formula>
    </cfRule>
  </conditionalFormatting>
  <conditionalFormatting sqref="L45">
    <cfRule type="expression" priority="443" dxfId="5" stopIfTrue="1">
      <formula>AND(AW45,AK45=1)</formula>
    </cfRule>
  </conditionalFormatting>
  <conditionalFormatting sqref="X45">
    <cfRule type="expression" priority="444" dxfId="5" stopIfTrue="1">
      <formula>AND(AW45,AK45=1)</formula>
    </cfRule>
  </conditionalFormatting>
  <conditionalFormatting sqref="Y45">
    <cfRule type="expression" priority="445" dxfId="5" stopIfTrue="1">
      <formula>AND(AW45,AK45=1)</formula>
    </cfRule>
  </conditionalFormatting>
  <conditionalFormatting sqref="L45">
    <cfRule type="expression" priority="446" dxfId="16" stopIfTrue="1">
      <formula>AND(AW45,AK45=2)</formula>
    </cfRule>
  </conditionalFormatting>
  <conditionalFormatting sqref="X45">
    <cfRule type="expression" priority="447" dxfId="16" stopIfTrue="1">
      <formula>AND(AW45,AK45=2)</formula>
    </cfRule>
  </conditionalFormatting>
  <conditionalFormatting sqref="Y45">
    <cfRule type="expression" priority="448" dxfId="16" stopIfTrue="1">
      <formula>AND(AW45,AK45=2)</formula>
    </cfRule>
  </conditionalFormatting>
  <conditionalFormatting sqref="L45">
    <cfRule type="expression" priority="449" dxfId="5" stopIfTrue="1">
      <formula>OR(BE45,BF45)</formula>
    </cfRule>
  </conditionalFormatting>
  <conditionalFormatting sqref="X45">
    <cfRule type="expression" priority="450" dxfId="5" stopIfTrue="1">
      <formula>OR(BE45,BF45)</formula>
    </cfRule>
  </conditionalFormatting>
  <conditionalFormatting sqref="Y45">
    <cfRule type="expression" priority="451" dxfId="5" stopIfTrue="1">
      <formula>OR(BE45,BF45)</formula>
    </cfRule>
  </conditionalFormatting>
  <conditionalFormatting sqref="L45">
    <cfRule type="expression" priority="452" dxfId="4" stopIfTrue="1">
      <formula>NOT(OR(BE45,BF45))</formula>
    </cfRule>
  </conditionalFormatting>
  <conditionalFormatting sqref="X45">
    <cfRule type="expression" priority="453" dxfId="4" stopIfTrue="1">
      <formula>NOT(OR(BE45,BF45))</formula>
    </cfRule>
  </conditionalFormatting>
  <conditionalFormatting sqref="Y45">
    <cfRule type="expression" priority="454" dxfId="4" stopIfTrue="1">
      <formula>NOT(OR(BE45,BF45))</formula>
    </cfRule>
  </conditionalFormatting>
  <conditionalFormatting sqref="L46">
    <cfRule type="expression" priority="455" dxfId="5" stopIfTrue="1">
      <formula>L46=""</formula>
    </cfRule>
  </conditionalFormatting>
  <conditionalFormatting sqref="X46">
    <cfRule type="expression" priority="456" dxfId="5" stopIfTrue="1">
      <formula>L46=""</formula>
    </cfRule>
  </conditionalFormatting>
  <conditionalFormatting sqref="Y46">
    <cfRule type="expression" priority="457" dxfId="5" stopIfTrue="1">
      <formula>L46=""</formula>
    </cfRule>
  </conditionalFormatting>
  <conditionalFormatting sqref="L46">
    <cfRule type="expression" priority="458" dxfId="5" stopIfTrue="1">
      <formula>AND(AW46,AK46=1)</formula>
    </cfRule>
  </conditionalFormatting>
  <conditionalFormatting sqref="X46">
    <cfRule type="expression" priority="459" dxfId="5" stopIfTrue="1">
      <formula>AND(AW46,AK46=1)</formula>
    </cfRule>
  </conditionalFormatting>
  <conditionalFormatting sqref="Y46">
    <cfRule type="expression" priority="460" dxfId="5" stopIfTrue="1">
      <formula>AND(AW46,AK46=1)</formula>
    </cfRule>
  </conditionalFormatting>
  <conditionalFormatting sqref="L46">
    <cfRule type="expression" priority="461" dxfId="16" stopIfTrue="1">
      <formula>AND(AW46,AK46=2)</formula>
    </cfRule>
  </conditionalFormatting>
  <conditionalFormatting sqref="X46">
    <cfRule type="expression" priority="462" dxfId="16" stopIfTrue="1">
      <formula>AND(AW46,AK46=2)</formula>
    </cfRule>
  </conditionalFormatting>
  <conditionalFormatting sqref="Y46">
    <cfRule type="expression" priority="463" dxfId="16" stopIfTrue="1">
      <formula>AND(AW46,AK46=2)</formula>
    </cfRule>
  </conditionalFormatting>
  <conditionalFormatting sqref="L46">
    <cfRule type="expression" priority="464" dxfId="5" stopIfTrue="1">
      <formula>OR(BE46,BF46)</formula>
    </cfRule>
  </conditionalFormatting>
  <conditionalFormatting sqref="X46">
    <cfRule type="expression" priority="465" dxfId="5" stopIfTrue="1">
      <formula>OR(BE46,BF46)</formula>
    </cfRule>
  </conditionalFormatting>
  <conditionalFormatting sqref="Y46">
    <cfRule type="expression" priority="466" dxfId="5" stopIfTrue="1">
      <formula>OR(BE46,BF46)</formula>
    </cfRule>
  </conditionalFormatting>
  <conditionalFormatting sqref="L46">
    <cfRule type="expression" priority="467" dxfId="4" stopIfTrue="1">
      <formula>NOT(OR(BE46,BF46))</formula>
    </cfRule>
  </conditionalFormatting>
  <conditionalFormatting sqref="X46">
    <cfRule type="expression" priority="468" dxfId="4" stopIfTrue="1">
      <formula>NOT(OR(BE46,BF46))</formula>
    </cfRule>
  </conditionalFormatting>
  <conditionalFormatting sqref="Y46">
    <cfRule type="expression" priority="469" dxfId="4" stopIfTrue="1">
      <formula>NOT(OR(BE46,BF46))</formula>
    </cfRule>
  </conditionalFormatting>
  <conditionalFormatting sqref="X47">
    <cfRule type="expression" priority="471" dxfId="5" stopIfTrue="1">
      <formula>L47=""</formula>
    </cfRule>
  </conditionalFormatting>
  <conditionalFormatting sqref="Y47">
    <cfRule type="expression" priority="472" dxfId="5" stopIfTrue="1">
      <formula>L47=""</formula>
    </cfRule>
  </conditionalFormatting>
  <conditionalFormatting sqref="L48">
    <cfRule type="expression" priority="473" dxfId="5" stopIfTrue="1">
      <formula>L48=""</formula>
    </cfRule>
  </conditionalFormatting>
  <conditionalFormatting sqref="X48">
    <cfRule type="expression" priority="474" dxfId="5" stopIfTrue="1">
      <formula>L48=""</formula>
    </cfRule>
  </conditionalFormatting>
  <conditionalFormatting sqref="Y48">
    <cfRule type="expression" priority="475" dxfId="5" stopIfTrue="1">
      <formula>L48=""</formula>
    </cfRule>
  </conditionalFormatting>
  <conditionalFormatting sqref="L48">
    <cfRule type="expression" priority="476" dxfId="5" stopIfTrue="1">
      <formula>AND(AW48,AK48=1)</formula>
    </cfRule>
  </conditionalFormatting>
  <conditionalFormatting sqref="X48">
    <cfRule type="expression" priority="477" dxfId="5" stopIfTrue="1">
      <formula>AND(AW48,AK48=1)</formula>
    </cfRule>
  </conditionalFormatting>
  <conditionalFormatting sqref="Y48">
    <cfRule type="expression" priority="478" dxfId="5" stopIfTrue="1">
      <formula>AND(AW48,AK48=1)</formula>
    </cfRule>
  </conditionalFormatting>
  <conditionalFormatting sqref="L48">
    <cfRule type="expression" priority="479" dxfId="16" stopIfTrue="1">
      <formula>AND(AW48,AK48=2)</formula>
    </cfRule>
  </conditionalFormatting>
  <conditionalFormatting sqref="X48">
    <cfRule type="expression" priority="480" dxfId="16" stopIfTrue="1">
      <formula>AND(AW48,AK48=2)</formula>
    </cfRule>
  </conditionalFormatting>
  <conditionalFormatting sqref="Y48">
    <cfRule type="expression" priority="481" dxfId="16" stopIfTrue="1">
      <formula>AND(AW48,AK48=2)</formula>
    </cfRule>
  </conditionalFormatting>
  <conditionalFormatting sqref="L48">
    <cfRule type="expression" priority="482" dxfId="5" stopIfTrue="1">
      <formula>OR(BE48,BF48)</formula>
    </cfRule>
  </conditionalFormatting>
  <conditionalFormatting sqref="X48">
    <cfRule type="expression" priority="483" dxfId="5" stopIfTrue="1">
      <formula>OR(BE48,BF48)</formula>
    </cfRule>
  </conditionalFormatting>
  <conditionalFormatting sqref="Y48">
    <cfRule type="expression" priority="484" dxfId="5" stopIfTrue="1">
      <formula>OR(BE48,BF48)</formula>
    </cfRule>
  </conditionalFormatting>
  <conditionalFormatting sqref="L48">
    <cfRule type="expression" priority="485" dxfId="4" stopIfTrue="1">
      <formula>NOT(OR(BE48,BF48))</formula>
    </cfRule>
  </conditionalFormatting>
  <conditionalFormatting sqref="X48">
    <cfRule type="expression" priority="486" dxfId="4" stopIfTrue="1">
      <formula>NOT(OR(BE48,BF48))</formula>
    </cfRule>
  </conditionalFormatting>
  <conditionalFormatting sqref="Y48">
    <cfRule type="expression" priority="487" dxfId="4" stopIfTrue="1">
      <formula>NOT(OR(BE48,BF48))</formula>
    </cfRule>
  </conditionalFormatting>
  <conditionalFormatting sqref="L49">
    <cfRule type="expression" priority="488" dxfId="5" stopIfTrue="1">
      <formula>L49=""</formula>
    </cfRule>
  </conditionalFormatting>
  <conditionalFormatting sqref="X49">
    <cfRule type="expression" priority="489" dxfId="5" stopIfTrue="1">
      <formula>L49=""</formula>
    </cfRule>
  </conditionalFormatting>
  <conditionalFormatting sqref="Y49">
    <cfRule type="expression" priority="490" dxfId="5" stopIfTrue="1">
      <formula>L49=""</formula>
    </cfRule>
  </conditionalFormatting>
  <conditionalFormatting sqref="L49">
    <cfRule type="expression" priority="491" dxfId="5" stopIfTrue="1">
      <formula>AND(AW49,AK49=1)</formula>
    </cfRule>
  </conditionalFormatting>
  <conditionalFormatting sqref="X49">
    <cfRule type="expression" priority="492" dxfId="5" stopIfTrue="1">
      <formula>AND(AW49,AK49=1)</formula>
    </cfRule>
  </conditionalFormatting>
  <conditionalFormatting sqref="Y49">
    <cfRule type="expression" priority="493" dxfId="5" stopIfTrue="1">
      <formula>AND(AW49,AK49=1)</formula>
    </cfRule>
  </conditionalFormatting>
  <conditionalFormatting sqref="L49">
    <cfRule type="expression" priority="494" dxfId="16" stopIfTrue="1">
      <formula>AND(AW49,AK49=2)</formula>
    </cfRule>
  </conditionalFormatting>
  <conditionalFormatting sqref="X49">
    <cfRule type="expression" priority="495" dxfId="16" stopIfTrue="1">
      <formula>AND(AW49,AK49=2)</formula>
    </cfRule>
  </conditionalFormatting>
  <conditionalFormatting sqref="Y49">
    <cfRule type="expression" priority="496" dxfId="16" stopIfTrue="1">
      <formula>AND(AW49,AK49=2)</formula>
    </cfRule>
  </conditionalFormatting>
  <conditionalFormatting sqref="L49">
    <cfRule type="expression" priority="497" dxfId="5" stopIfTrue="1">
      <formula>OR(BE49,BF49)</formula>
    </cfRule>
  </conditionalFormatting>
  <conditionalFormatting sqref="X49">
    <cfRule type="expression" priority="498" dxfId="5" stopIfTrue="1">
      <formula>OR(BE49,BF49)</formula>
    </cfRule>
  </conditionalFormatting>
  <conditionalFormatting sqref="Y49">
    <cfRule type="expression" priority="499" dxfId="5" stopIfTrue="1">
      <formula>OR(BE49,BF49)</formula>
    </cfRule>
  </conditionalFormatting>
  <conditionalFormatting sqref="L49">
    <cfRule type="expression" priority="500" dxfId="4" stopIfTrue="1">
      <formula>NOT(OR(BE49,BF49))</formula>
    </cfRule>
  </conditionalFormatting>
  <conditionalFormatting sqref="X49">
    <cfRule type="expression" priority="501" dxfId="4" stopIfTrue="1">
      <formula>NOT(OR(BE49,BF49))</formula>
    </cfRule>
  </conditionalFormatting>
  <conditionalFormatting sqref="Y49">
    <cfRule type="expression" priority="502" dxfId="4" stopIfTrue="1">
      <formula>NOT(OR(BE49,BF49))</formula>
    </cfRule>
  </conditionalFormatting>
  <conditionalFormatting sqref="L50">
    <cfRule type="expression" priority="503" dxfId="5" stopIfTrue="1">
      <formula>L50=""</formula>
    </cfRule>
  </conditionalFormatting>
  <conditionalFormatting sqref="X50">
    <cfRule type="expression" priority="504" dxfId="5" stopIfTrue="1">
      <formula>L50=""</formula>
    </cfRule>
  </conditionalFormatting>
  <conditionalFormatting sqref="Y50">
    <cfRule type="expression" priority="505" dxfId="5" stopIfTrue="1">
      <formula>L50=""</formula>
    </cfRule>
  </conditionalFormatting>
  <conditionalFormatting sqref="L50">
    <cfRule type="expression" priority="506" dxfId="5" stopIfTrue="1">
      <formula>AND(AW50,AK50=1)</formula>
    </cfRule>
  </conditionalFormatting>
  <conditionalFormatting sqref="X50">
    <cfRule type="expression" priority="507" dxfId="5" stopIfTrue="1">
      <formula>AND(AW50,AK50=1)</formula>
    </cfRule>
  </conditionalFormatting>
  <conditionalFormatting sqref="Y50">
    <cfRule type="expression" priority="508" dxfId="5" stopIfTrue="1">
      <formula>AND(AW50,AK50=1)</formula>
    </cfRule>
  </conditionalFormatting>
  <conditionalFormatting sqref="L50">
    <cfRule type="expression" priority="509" dxfId="16" stopIfTrue="1">
      <formula>AND(AW50,AK50=2)</formula>
    </cfRule>
  </conditionalFormatting>
  <conditionalFormatting sqref="X50">
    <cfRule type="expression" priority="510" dxfId="16" stopIfTrue="1">
      <formula>AND(AW50,AK50=2)</formula>
    </cfRule>
  </conditionalFormatting>
  <conditionalFormatting sqref="Y50">
    <cfRule type="expression" priority="511" dxfId="16" stopIfTrue="1">
      <formula>AND(AW50,AK50=2)</formula>
    </cfRule>
  </conditionalFormatting>
  <conditionalFormatting sqref="L50">
    <cfRule type="expression" priority="512" dxfId="5" stopIfTrue="1">
      <formula>OR(BE50,BF50)</formula>
    </cfRule>
  </conditionalFormatting>
  <conditionalFormatting sqref="X50">
    <cfRule type="expression" priority="513" dxfId="5" stopIfTrue="1">
      <formula>OR(BE50,BF50)</formula>
    </cfRule>
  </conditionalFormatting>
  <conditionalFormatting sqref="Y50">
    <cfRule type="expression" priority="514" dxfId="5" stopIfTrue="1">
      <formula>OR(BE50,BF50)</formula>
    </cfRule>
  </conditionalFormatting>
  <conditionalFormatting sqref="L50">
    <cfRule type="expression" priority="515" dxfId="4" stopIfTrue="1">
      <formula>NOT(OR(BE50,BF50))</formula>
    </cfRule>
  </conditionalFormatting>
  <conditionalFormatting sqref="X50">
    <cfRule type="expression" priority="516" dxfId="4" stopIfTrue="1">
      <formula>NOT(OR(BE50,BF50))</formula>
    </cfRule>
  </conditionalFormatting>
  <conditionalFormatting sqref="Y50">
    <cfRule type="expression" priority="517" dxfId="4" stopIfTrue="1">
      <formula>NOT(OR(BE50,BF50))</formula>
    </cfRule>
  </conditionalFormatting>
  <conditionalFormatting sqref="L51">
    <cfRule type="expression" priority="518" dxfId="5" stopIfTrue="1">
      <formula>L51=""</formula>
    </cfRule>
  </conditionalFormatting>
  <conditionalFormatting sqref="X51">
    <cfRule type="expression" priority="519" dxfId="5" stopIfTrue="1">
      <formula>L51=""</formula>
    </cfRule>
  </conditionalFormatting>
  <conditionalFormatting sqref="Y51">
    <cfRule type="expression" priority="520" dxfId="5" stopIfTrue="1">
      <formula>L51=""</formula>
    </cfRule>
  </conditionalFormatting>
  <conditionalFormatting sqref="L51">
    <cfRule type="expression" priority="521" dxfId="5" stopIfTrue="1">
      <formula>AND(AW51,AK51=1)</formula>
    </cfRule>
  </conditionalFormatting>
  <conditionalFormatting sqref="X51">
    <cfRule type="expression" priority="522" dxfId="5" stopIfTrue="1">
      <formula>AND(AW51,AK51=1)</formula>
    </cfRule>
  </conditionalFormatting>
  <conditionalFormatting sqref="Y51">
    <cfRule type="expression" priority="523" dxfId="5" stopIfTrue="1">
      <formula>AND(AW51,AK51=1)</formula>
    </cfRule>
  </conditionalFormatting>
  <conditionalFormatting sqref="L51">
    <cfRule type="expression" priority="524" dxfId="16" stopIfTrue="1">
      <formula>AND(AW51,AK51=2)</formula>
    </cfRule>
  </conditionalFormatting>
  <conditionalFormatting sqref="X51">
    <cfRule type="expression" priority="525" dxfId="16" stopIfTrue="1">
      <formula>AND(AW51,AK51=2)</formula>
    </cfRule>
  </conditionalFormatting>
  <conditionalFormatting sqref="Y51">
    <cfRule type="expression" priority="526" dxfId="16" stopIfTrue="1">
      <formula>AND(AW51,AK51=2)</formula>
    </cfRule>
  </conditionalFormatting>
  <conditionalFormatting sqref="L51">
    <cfRule type="expression" priority="527" dxfId="5" stopIfTrue="1">
      <formula>OR(BE51,BF51)</formula>
    </cfRule>
  </conditionalFormatting>
  <conditionalFormatting sqref="X51">
    <cfRule type="expression" priority="528" dxfId="5" stopIfTrue="1">
      <formula>OR(BE51,BF51)</formula>
    </cfRule>
  </conditionalFormatting>
  <conditionalFormatting sqref="Y51">
    <cfRule type="expression" priority="529" dxfId="5" stopIfTrue="1">
      <formula>OR(BE51,BF51)</formula>
    </cfRule>
  </conditionalFormatting>
  <conditionalFormatting sqref="L51">
    <cfRule type="expression" priority="530" dxfId="4" stopIfTrue="1">
      <formula>NOT(OR(BE51,BF51))</formula>
    </cfRule>
  </conditionalFormatting>
  <conditionalFormatting sqref="X51">
    <cfRule type="expression" priority="531" dxfId="4" stopIfTrue="1">
      <formula>NOT(OR(BE51,BF51))</formula>
    </cfRule>
  </conditionalFormatting>
  <conditionalFormatting sqref="Y51">
    <cfRule type="expression" priority="532" dxfId="4" stopIfTrue="1">
      <formula>NOT(OR(BE51,BF51))</formula>
    </cfRule>
  </conditionalFormatting>
  <conditionalFormatting sqref="L52">
    <cfRule type="expression" priority="533" dxfId="5" stopIfTrue="1">
      <formula>L52=""</formula>
    </cfRule>
  </conditionalFormatting>
  <conditionalFormatting sqref="X52">
    <cfRule type="expression" priority="534" dxfId="5" stopIfTrue="1">
      <formula>L52=""</formula>
    </cfRule>
  </conditionalFormatting>
  <conditionalFormatting sqref="Y52">
    <cfRule type="expression" priority="535" dxfId="5" stopIfTrue="1">
      <formula>L52=""</formula>
    </cfRule>
  </conditionalFormatting>
  <conditionalFormatting sqref="L52">
    <cfRule type="expression" priority="536" dxfId="5" stopIfTrue="1">
      <formula>AND(AW52,AK52=1)</formula>
    </cfRule>
  </conditionalFormatting>
  <conditionalFormatting sqref="X52">
    <cfRule type="expression" priority="537" dxfId="5" stopIfTrue="1">
      <formula>AND(AW52,AK52=1)</formula>
    </cfRule>
  </conditionalFormatting>
  <conditionalFormatting sqref="Y52">
    <cfRule type="expression" priority="538" dxfId="5" stopIfTrue="1">
      <formula>AND(AW52,AK52=1)</formula>
    </cfRule>
  </conditionalFormatting>
  <conditionalFormatting sqref="L52">
    <cfRule type="expression" priority="539" dxfId="16" stopIfTrue="1">
      <formula>AND(AW52,AK52=2)</formula>
    </cfRule>
  </conditionalFormatting>
  <conditionalFormatting sqref="X52">
    <cfRule type="expression" priority="540" dxfId="16" stopIfTrue="1">
      <formula>AND(AW52,AK52=2)</formula>
    </cfRule>
  </conditionalFormatting>
  <conditionalFormatting sqref="Y52">
    <cfRule type="expression" priority="541" dxfId="16" stopIfTrue="1">
      <formula>AND(AW52,AK52=2)</formula>
    </cfRule>
  </conditionalFormatting>
  <conditionalFormatting sqref="L52">
    <cfRule type="expression" priority="542" dxfId="5" stopIfTrue="1">
      <formula>OR(BE52,BF52)</formula>
    </cfRule>
  </conditionalFormatting>
  <conditionalFormatting sqref="X52">
    <cfRule type="expression" priority="543" dxfId="5" stopIfTrue="1">
      <formula>OR(BE52,BF52)</formula>
    </cfRule>
  </conditionalFormatting>
  <conditionalFormatting sqref="Y52">
    <cfRule type="expression" priority="544" dxfId="5" stopIfTrue="1">
      <formula>OR(BE52,BF52)</formula>
    </cfRule>
  </conditionalFormatting>
  <conditionalFormatting sqref="L52">
    <cfRule type="expression" priority="545" dxfId="4" stopIfTrue="1">
      <formula>NOT(OR(BE52,BF52))</formula>
    </cfRule>
  </conditionalFormatting>
  <conditionalFormatting sqref="X52">
    <cfRule type="expression" priority="546" dxfId="4" stopIfTrue="1">
      <formula>NOT(OR(BE52,BF52))</formula>
    </cfRule>
  </conditionalFormatting>
  <conditionalFormatting sqref="Y52">
    <cfRule type="expression" priority="547" dxfId="4" stopIfTrue="1">
      <formula>NOT(OR(BE52,BF52))</formula>
    </cfRule>
  </conditionalFormatting>
  <conditionalFormatting sqref="L53">
    <cfRule type="expression" priority="548" dxfId="5" stopIfTrue="1">
      <formula>L53=""</formula>
    </cfRule>
  </conditionalFormatting>
  <conditionalFormatting sqref="X53">
    <cfRule type="expression" priority="549" dxfId="5" stopIfTrue="1">
      <formula>L53=""</formula>
    </cfRule>
  </conditionalFormatting>
  <conditionalFormatting sqref="Y53">
    <cfRule type="expression" priority="550" dxfId="5" stopIfTrue="1">
      <formula>L53=""</formula>
    </cfRule>
  </conditionalFormatting>
  <conditionalFormatting sqref="L53">
    <cfRule type="expression" priority="551" dxfId="5" stopIfTrue="1">
      <formula>AND(AW53,AK53=1)</formula>
    </cfRule>
  </conditionalFormatting>
  <conditionalFormatting sqref="X53">
    <cfRule type="expression" priority="552" dxfId="5" stopIfTrue="1">
      <formula>AND(AW53,AK53=1)</formula>
    </cfRule>
  </conditionalFormatting>
  <conditionalFormatting sqref="Y53">
    <cfRule type="expression" priority="553" dxfId="5" stopIfTrue="1">
      <formula>AND(AW53,AK53=1)</formula>
    </cfRule>
  </conditionalFormatting>
  <conditionalFormatting sqref="L53">
    <cfRule type="expression" priority="554" dxfId="16" stopIfTrue="1">
      <formula>AND(AW53,AK53=2)</formula>
    </cfRule>
  </conditionalFormatting>
  <conditionalFormatting sqref="X53">
    <cfRule type="expression" priority="555" dxfId="16" stopIfTrue="1">
      <formula>AND(AW53,AK53=2)</formula>
    </cfRule>
  </conditionalFormatting>
  <conditionalFormatting sqref="Y53">
    <cfRule type="expression" priority="556" dxfId="16" stopIfTrue="1">
      <formula>AND(AW53,AK53=2)</formula>
    </cfRule>
  </conditionalFormatting>
  <conditionalFormatting sqref="L53">
    <cfRule type="expression" priority="557" dxfId="5" stopIfTrue="1">
      <formula>OR(BE53,BF53)</formula>
    </cfRule>
  </conditionalFormatting>
  <conditionalFormatting sqref="X53">
    <cfRule type="expression" priority="558" dxfId="5" stopIfTrue="1">
      <formula>OR(BE53,BF53)</formula>
    </cfRule>
  </conditionalFormatting>
  <conditionalFormatting sqref="Y53">
    <cfRule type="expression" priority="559" dxfId="5" stopIfTrue="1">
      <formula>OR(BE53,BF53)</formula>
    </cfRule>
  </conditionalFormatting>
  <conditionalFormatting sqref="L53">
    <cfRule type="expression" priority="560" dxfId="4" stopIfTrue="1">
      <formula>NOT(OR(BE53,BF53))</formula>
    </cfRule>
  </conditionalFormatting>
  <conditionalFormatting sqref="X53">
    <cfRule type="expression" priority="561" dxfId="4" stopIfTrue="1">
      <formula>NOT(OR(BE53,BF53))</formula>
    </cfRule>
  </conditionalFormatting>
  <conditionalFormatting sqref="Y53">
    <cfRule type="expression" priority="562" dxfId="4" stopIfTrue="1">
      <formula>NOT(OR(BE53,BF53))</formula>
    </cfRule>
  </conditionalFormatting>
  <conditionalFormatting sqref="L54">
    <cfRule type="expression" priority="563" dxfId="5" stopIfTrue="1">
      <formula>L54=""</formula>
    </cfRule>
  </conditionalFormatting>
  <conditionalFormatting sqref="X54">
    <cfRule type="expression" priority="564" dxfId="5" stopIfTrue="1">
      <formula>L54=""</formula>
    </cfRule>
  </conditionalFormatting>
  <conditionalFormatting sqref="Y54">
    <cfRule type="expression" priority="565" dxfId="5" stopIfTrue="1">
      <formula>L54=""</formula>
    </cfRule>
  </conditionalFormatting>
  <conditionalFormatting sqref="L55">
    <cfRule type="expression" priority="566" dxfId="5" stopIfTrue="1">
      <formula>L55=""</formula>
    </cfRule>
  </conditionalFormatting>
  <conditionalFormatting sqref="X55">
    <cfRule type="expression" priority="567" dxfId="5" stopIfTrue="1">
      <formula>L55=""</formula>
    </cfRule>
  </conditionalFormatting>
  <conditionalFormatting sqref="Y55">
    <cfRule type="expression" priority="568" dxfId="5" stopIfTrue="1">
      <formula>L55=""</formula>
    </cfRule>
  </conditionalFormatting>
  <conditionalFormatting sqref="L55">
    <cfRule type="expression" priority="569" dxfId="5" stopIfTrue="1">
      <formula>AND(AW55,AK55=1)</formula>
    </cfRule>
  </conditionalFormatting>
  <conditionalFormatting sqref="X55">
    <cfRule type="expression" priority="570" dxfId="5" stopIfTrue="1">
      <formula>AND(AW55,AK55=1)</formula>
    </cfRule>
  </conditionalFormatting>
  <conditionalFormatting sqref="Y55">
    <cfRule type="expression" priority="571" dxfId="5" stopIfTrue="1">
      <formula>AND(AW55,AK55=1)</formula>
    </cfRule>
  </conditionalFormatting>
  <conditionalFormatting sqref="L55">
    <cfRule type="expression" priority="572" dxfId="16" stopIfTrue="1">
      <formula>AND(AW55,AK55=2)</formula>
    </cfRule>
  </conditionalFormatting>
  <conditionalFormatting sqref="X55">
    <cfRule type="expression" priority="573" dxfId="16" stopIfTrue="1">
      <formula>AND(AW55,AK55=2)</formula>
    </cfRule>
  </conditionalFormatting>
  <conditionalFormatting sqref="Y55">
    <cfRule type="expression" priority="574" dxfId="16" stopIfTrue="1">
      <formula>AND(AW55,AK55=2)</formula>
    </cfRule>
  </conditionalFormatting>
  <conditionalFormatting sqref="L55">
    <cfRule type="expression" priority="575" dxfId="5" stopIfTrue="1">
      <formula>OR(BE55,BF55)</formula>
    </cfRule>
  </conditionalFormatting>
  <conditionalFormatting sqref="X55">
    <cfRule type="expression" priority="576" dxfId="5" stopIfTrue="1">
      <formula>OR(BE55,BF55)</formula>
    </cfRule>
  </conditionalFormatting>
  <conditionalFormatting sqref="Y55">
    <cfRule type="expression" priority="577" dxfId="5" stopIfTrue="1">
      <formula>OR(BE55,BF55)</formula>
    </cfRule>
  </conditionalFormatting>
  <conditionalFormatting sqref="L55">
    <cfRule type="expression" priority="578" dxfId="4" stopIfTrue="1">
      <formula>NOT(OR(BE55,BF55))</formula>
    </cfRule>
  </conditionalFormatting>
  <conditionalFormatting sqref="X55">
    <cfRule type="expression" priority="579" dxfId="4" stopIfTrue="1">
      <formula>NOT(OR(BE55,BF55))</formula>
    </cfRule>
  </conditionalFormatting>
  <conditionalFormatting sqref="Y55">
    <cfRule type="expression" priority="580" dxfId="4" stopIfTrue="1">
      <formula>NOT(OR(BE55,BF55))</formula>
    </cfRule>
  </conditionalFormatting>
  <conditionalFormatting sqref="L56">
    <cfRule type="expression" priority="581" dxfId="5" stopIfTrue="1">
      <formula>L56=""</formula>
    </cfRule>
  </conditionalFormatting>
  <conditionalFormatting sqref="X56">
    <cfRule type="expression" priority="582" dxfId="5" stopIfTrue="1">
      <formula>L56=""</formula>
    </cfRule>
  </conditionalFormatting>
  <conditionalFormatting sqref="Y56">
    <cfRule type="expression" priority="583" dxfId="5" stopIfTrue="1">
      <formula>L56=""</formula>
    </cfRule>
  </conditionalFormatting>
  <conditionalFormatting sqref="L56">
    <cfRule type="expression" priority="584" dxfId="5" stopIfTrue="1">
      <formula>AND(AW56,AK56=1)</formula>
    </cfRule>
  </conditionalFormatting>
  <conditionalFormatting sqref="X56">
    <cfRule type="expression" priority="585" dxfId="5" stopIfTrue="1">
      <formula>AND(AW56,AK56=1)</formula>
    </cfRule>
  </conditionalFormatting>
  <conditionalFormatting sqref="Y56">
    <cfRule type="expression" priority="586" dxfId="5" stopIfTrue="1">
      <formula>AND(AW56,AK56=1)</formula>
    </cfRule>
  </conditionalFormatting>
  <conditionalFormatting sqref="L56">
    <cfRule type="expression" priority="587" dxfId="16" stopIfTrue="1">
      <formula>AND(AW56,AK56=2)</formula>
    </cfRule>
  </conditionalFormatting>
  <conditionalFormatting sqref="X56">
    <cfRule type="expression" priority="588" dxfId="16" stopIfTrue="1">
      <formula>AND(AW56,AK56=2)</formula>
    </cfRule>
  </conditionalFormatting>
  <conditionalFormatting sqref="Y56">
    <cfRule type="expression" priority="589" dxfId="16" stopIfTrue="1">
      <formula>AND(AW56,AK56=2)</formula>
    </cfRule>
  </conditionalFormatting>
  <conditionalFormatting sqref="L56">
    <cfRule type="expression" priority="590" dxfId="5" stopIfTrue="1">
      <formula>OR(BE56,BF56)</formula>
    </cfRule>
  </conditionalFormatting>
  <conditionalFormatting sqref="X56">
    <cfRule type="expression" priority="591" dxfId="5" stopIfTrue="1">
      <formula>OR(BE56,BF56)</formula>
    </cfRule>
  </conditionalFormatting>
  <conditionalFormatting sqref="Y56">
    <cfRule type="expression" priority="592" dxfId="5" stopIfTrue="1">
      <formula>OR(BE56,BF56)</formula>
    </cfRule>
  </conditionalFormatting>
  <conditionalFormatting sqref="L56">
    <cfRule type="expression" priority="593" dxfId="4" stopIfTrue="1">
      <formula>NOT(OR(BE56,BF56))</formula>
    </cfRule>
  </conditionalFormatting>
  <conditionalFormatting sqref="X56">
    <cfRule type="expression" priority="594" dxfId="4" stopIfTrue="1">
      <formula>NOT(OR(BE56,BF56))</formula>
    </cfRule>
  </conditionalFormatting>
  <conditionalFormatting sqref="Y56">
    <cfRule type="expression" priority="595" dxfId="4" stopIfTrue="1">
      <formula>NOT(OR(BE56,BF56))</formula>
    </cfRule>
  </conditionalFormatting>
  <conditionalFormatting sqref="L57">
    <cfRule type="expression" priority="596" dxfId="5" stopIfTrue="1">
      <formula>K57-L57&gt;0</formula>
    </cfRule>
  </conditionalFormatting>
  <conditionalFormatting sqref="L57">
    <cfRule type="expression" priority="597" dxfId="4" stopIfTrue="1">
      <formula>K57-L57=0</formula>
    </cfRule>
  </conditionalFormatting>
  <conditionalFormatting sqref="L58">
    <cfRule type="expression" priority="600" dxfId="5" stopIfTrue="1">
      <formula>K58-L58&gt;0</formula>
    </cfRule>
  </conditionalFormatting>
  <conditionalFormatting sqref="L58">
    <cfRule type="expression" priority="601" dxfId="4" stopIfTrue="1">
      <formula>K58-L58=0</formula>
    </cfRule>
  </conditionalFormatting>
  <conditionalFormatting sqref="L59">
    <cfRule type="expression" priority="602" dxfId="5" stopIfTrue="1">
      <formula>K59-L59&gt;0</formula>
    </cfRule>
  </conditionalFormatting>
  <conditionalFormatting sqref="L59">
    <cfRule type="expression" priority="603" dxfId="4" stopIfTrue="1">
      <formula>K59-L59=0</formula>
    </cfRule>
  </conditionalFormatting>
  <conditionalFormatting sqref="L62">
    <cfRule type="expression" priority="604" dxfId="5" stopIfTrue="1">
      <formula>K62-L62&gt;0</formula>
    </cfRule>
  </conditionalFormatting>
  <conditionalFormatting sqref="L62">
    <cfRule type="expression" priority="605" dxfId="4" stopIfTrue="1">
      <formula>K62-L62&lt;=0</formula>
    </cfRule>
  </conditionalFormatting>
  <conditionalFormatting sqref="X57">
    <cfRule type="expression" priority="606" dxfId="5" stopIfTrue="1">
      <formula>BD69&lt;BG69</formula>
    </cfRule>
  </conditionalFormatting>
  <conditionalFormatting sqref="X57">
    <cfRule type="expression" priority="607" dxfId="4" stopIfTrue="1">
      <formula>BD69&gt;=BG69</formula>
    </cfRule>
  </conditionalFormatting>
  <conditionalFormatting sqref="Y57">
    <cfRule type="expression" priority="608" dxfId="5" stopIfTrue="1">
      <formula>BD70&lt;BG70</formula>
    </cfRule>
  </conditionalFormatting>
  <conditionalFormatting sqref="Y57">
    <cfRule type="expression" priority="609" dxfId="4" stopIfTrue="1">
      <formula>BD70&gt;=BG70</formula>
    </cfRule>
  </conditionalFormatting>
  <conditionalFormatting sqref="X58">
    <cfRule type="expression" priority="610" dxfId="5" stopIfTrue="1">
      <formula>BH69&lt;BF69</formula>
    </cfRule>
  </conditionalFormatting>
  <conditionalFormatting sqref="X58">
    <cfRule type="expression" priority="611" dxfId="4" stopIfTrue="1">
      <formula>BH69&gt;=BF69</formula>
    </cfRule>
  </conditionalFormatting>
  <conditionalFormatting sqref="Y58">
    <cfRule type="expression" priority="612" dxfId="5" stopIfTrue="1">
      <formula>BH70&lt;BF70</formula>
    </cfRule>
  </conditionalFormatting>
  <conditionalFormatting sqref="Y58">
    <cfRule type="expression" priority="613" dxfId="4" stopIfTrue="1">
      <formula>BH70&gt;=BF70</formula>
    </cfRule>
  </conditionalFormatting>
  <conditionalFormatting sqref="L24">
    <cfRule type="expression" priority="6" dxfId="5" stopIfTrue="1">
      <formula>L24=""</formula>
    </cfRule>
  </conditionalFormatting>
  <conditionalFormatting sqref="L24">
    <cfRule type="expression" priority="7" dxfId="5" stopIfTrue="1">
      <formula>AND(AW24,AK24=1)</formula>
    </cfRule>
  </conditionalFormatting>
  <conditionalFormatting sqref="L24">
    <cfRule type="expression" priority="8" dxfId="16" stopIfTrue="1">
      <formula>AND(AW24,AK24=2)</formula>
    </cfRule>
  </conditionalFormatting>
  <conditionalFormatting sqref="L24">
    <cfRule type="expression" priority="9" dxfId="5" stopIfTrue="1">
      <formula>OR(BE24,BF24)</formula>
    </cfRule>
  </conditionalFormatting>
  <conditionalFormatting sqref="L24">
    <cfRule type="expression" priority="10" dxfId="4" stopIfTrue="1">
      <formula>NOT(OR(BE24,BF24))</formula>
    </cfRule>
  </conditionalFormatting>
  <conditionalFormatting sqref="L47">
    <cfRule type="expression" priority="1" dxfId="5" stopIfTrue="1">
      <formula>L47=""</formula>
    </cfRule>
  </conditionalFormatting>
  <conditionalFormatting sqref="L47">
    <cfRule type="expression" priority="2" dxfId="5" stopIfTrue="1">
      <formula>AND(AW47,AK47=1)</formula>
    </cfRule>
  </conditionalFormatting>
  <conditionalFormatting sqref="L47">
    <cfRule type="expression" priority="3" dxfId="16" stopIfTrue="1">
      <formula>AND(AW47,AK47=2)</formula>
    </cfRule>
  </conditionalFormatting>
  <conditionalFormatting sqref="L47">
    <cfRule type="expression" priority="4" dxfId="5" stopIfTrue="1">
      <formula>OR(BE47,BF47)</formula>
    </cfRule>
  </conditionalFormatting>
  <conditionalFormatting sqref="L47">
    <cfRule type="expression" priority="5" dxfId="4" stopIfTrue="1">
      <formula>NOT(OR(BE47,BF47))</formula>
    </cfRule>
  </conditionalFormatting>
  <dataValidations count="1">
    <dataValidation type="list" allowBlank="1" showInputMessage="1" showErrorMessage="1" sqref="L6:O56">
      <formula1>score</formula1>
    </dataValidation>
  </dataValidations>
  <printOptions/>
  <pageMargins left="0.11811023622047245" right="0.11811023622047245" top="0.7480314960629921" bottom="0.7480314960629921" header="0.31496062992125984" footer="0.31496062992125984"/>
  <pageSetup fitToHeight="1" fitToWidth="1" horizontalDpi="600" verticalDpi="600" orientation="landscape" paperSize="8" scale="48" r:id="rId1"/>
  <headerFooter>
    <oddHeader>&amp;LVGO scan&amp;Rversie 3.0</oddHeader>
    <oddFooter>&amp;R15 december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8"/>
  <sheetViews>
    <sheetView showGridLines="0" showRowColHeaders="0" zoomScale="85" zoomScaleNormal="85" zoomScaleSheetLayoutView="85" workbookViewId="0" topLeftCell="A1">
      <selection activeCell="F23" sqref="F23"/>
    </sheetView>
  </sheetViews>
  <sheetFormatPr defaultColWidth="8.7109375" defaultRowHeight="15"/>
  <cols>
    <col min="1" max="1" width="8.8515625" style="96" customWidth="1"/>
    <col min="2" max="2" width="34.00390625" style="96" customWidth="1"/>
    <col min="3" max="3" width="5.8515625" style="97" customWidth="1"/>
    <col min="4" max="4" width="58.8515625" style="97" customWidth="1"/>
    <col min="5" max="5" width="4.00390625" style="96" customWidth="1"/>
    <col min="6" max="6" width="53.28125" style="96" customWidth="1"/>
    <col min="7" max="7" width="16.140625" style="96" customWidth="1"/>
    <col min="8" max="10" width="3.28125" style="96" customWidth="1"/>
    <col min="11" max="11" width="5.00390625" style="98" customWidth="1"/>
    <col min="12" max="15" width="5.28125" style="96" customWidth="1"/>
    <col min="16" max="17" width="8.7109375" style="96" customWidth="1"/>
    <col min="18" max="19" width="6.7109375" style="96" customWidth="1"/>
    <col min="20" max="20" width="6.7109375" style="99" customWidth="1"/>
    <col min="21" max="21" width="6.7109375" style="96" customWidth="1"/>
    <col min="22" max="22" width="11.7109375" style="96" hidden="1" customWidth="1"/>
    <col min="23" max="23" width="8.7109375" style="96" hidden="1" customWidth="1"/>
    <col min="24" max="16384" width="8.7109375" style="96" customWidth="1"/>
  </cols>
  <sheetData>
    <row r="1" ht="34.5" thickBot="1">
      <c r="A1" s="95" t="s">
        <v>202</v>
      </c>
    </row>
    <row r="2" spans="1:23" ht="25.9" customHeight="1" thickBot="1">
      <c r="A2" s="100" t="s">
        <v>203</v>
      </c>
      <c r="B2" s="101"/>
      <c r="C2" s="102" t="s">
        <v>204</v>
      </c>
      <c r="D2" s="103"/>
      <c r="E2" s="104" t="s">
        <v>205</v>
      </c>
      <c r="F2" s="105"/>
      <c r="G2" s="105"/>
      <c r="H2" s="105"/>
      <c r="I2" s="105"/>
      <c r="J2" s="105"/>
      <c r="K2" s="106"/>
      <c r="L2" s="105"/>
      <c r="M2" s="105"/>
      <c r="N2" s="105"/>
      <c r="O2" s="105"/>
      <c r="P2" s="105"/>
      <c r="Q2" s="107"/>
      <c r="R2" s="710" t="s">
        <v>206</v>
      </c>
      <c r="S2" s="711"/>
      <c r="T2" s="711"/>
      <c r="U2" s="711"/>
      <c r="V2" s="711"/>
      <c r="W2" s="712"/>
    </row>
    <row r="3" spans="1:23" ht="15">
      <c r="A3" s="108"/>
      <c r="B3" s="109" t="s">
        <v>207</v>
      </c>
      <c r="C3" s="110"/>
      <c r="D3" s="111" t="s">
        <v>208</v>
      </c>
      <c r="E3" s="112"/>
      <c r="F3" s="113"/>
      <c r="G3" s="113"/>
      <c r="H3" s="113"/>
      <c r="I3" s="113"/>
      <c r="J3" s="113"/>
      <c r="K3" s="114"/>
      <c r="L3" s="113"/>
      <c r="M3" s="113"/>
      <c r="N3" s="113"/>
      <c r="O3" s="113"/>
      <c r="P3" s="113"/>
      <c r="Q3" s="113"/>
      <c r="R3" s="113"/>
      <c r="S3" s="113"/>
      <c r="T3" s="115"/>
      <c r="U3" s="113"/>
      <c r="V3" s="113"/>
      <c r="W3" s="116"/>
    </row>
    <row r="4" spans="1:23" ht="15.75" thickBot="1">
      <c r="A4" s="117"/>
      <c r="B4" s="118"/>
      <c r="C4" s="119"/>
      <c r="D4" s="120"/>
      <c r="E4" s="121"/>
      <c r="F4" s="122"/>
      <c r="G4" s="122"/>
      <c r="H4" s="122"/>
      <c r="I4" s="122"/>
      <c r="J4" s="122"/>
      <c r="K4" s="123"/>
      <c r="L4" s="122"/>
      <c r="M4" s="122"/>
      <c r="N4" s="122"/>
      <c r="O4" s="122"/>
      <c r="P4" s="122"/>
      <c r="Q4" s="122"/>
      <c r="R4" s="122"/>
      <c r="S4" s="122"/>
      <c r="T4" s="124"/>
      <c r="U4" s="122"/>
      <c r="V4" s="122"/>
      <c r="W4" s="125"/>
    </row>
    <row r="5" spans="1:23" ht="15.75" thickBot="1">
      <c r="A5" s="126"/>
      <c r="B5" s="127" t="s">
        <v>108</v>
      </c>
      <c r="C5" s="128"/>
      <c r="D5" s="129"/>
      <c r="E5" s="130"/>
      <c r="F5" s="131"/>
      <c r="G5" s="132" t="s">
        <v>45</v>
      </c>
      <c r="H5" s="133" t="s">
        <v>209</v>
      </c>
      <c r="I5" s="134" t="s">
        <v>210</v>
      </c>
      <c r="J5" s="135" t="s">
        <v>211</v>
      </c>
      <c r="K5" s="136" t="s">
        <v>212</v>
      </c>
      <c r="L5" s="137">
        <v>1</v>
      </c>
      <c r="M5" s="137">
        <v>2</v>
      </c>
      <c r="N5" s="137">
        <v>3</v>
      </c>
      <c r="O5" s="138">
        <v>4</v>
      </c>
      <c r="P5" s="139" t="s">
        <v>213</v>
      </c>
      <c r="Q5" s="140" t="s">
        <v>214</v>
      </c>
      <c r="R5" s="136" t="s">
        <v>215</v>
      </c>
      <c r="S5" s="141" t="s">
        <v>216</v>
      </c>
      <c r="T5" s="136" t="s">
        <v>215</v>
      </c>
      <c r="U5" s="141" t="s">
        <v>216</v>
      </c>
      <c r="V5" s="142" t="s">
        <v>213</v>
      </c>
      <c r="W5" s="142" t="s">
        <v>214</v>
      </c>
    </row>
    <row r="6" spans="1:23" ht="15">
      <c r="A6" s="108"/>
      <c r="B6" s="143" t="s">
        <v>217</v>
      </c>
      <c r="C6" s="144">
        <v>1</v>
      </c>
      <c r="D6" s="145" t="s">
        <v>218</v>
      </c>
      <c r="E6" s="146" t="s">
        <v>17</v>
      </c>
      <c r="F6" s="147" t="s">
        <v>219</v>
      </c>
      <c r="G6" s="148" t="s">
        <v>220</v>
      </c>
      <c r="H6" s="149"/>
      <c r="I6" s="150"/>
      <c r="J6" s="151"/>
      <c r="K6" s="152" t="s">
        <v>216</v>
      </c>
      <c r="L6" s="152"/>
      <c r="M6" s="152"/>
      <c r="N6" s="152"/>
      <c r="O6" s="153"/>
      <c r="P6" s="154"/>
      <c r="Q6" s="155"/>
      <c r="R6" s="154"/>
      <c r="S6" s="155">
        <v>10</v>
      </c>
      <c r="T6" s="692">
        <v>20</v>
      </c>
      <c r="U6" s="694">
        <v>10</v>
      </c>
      <c r="V6" s="154">
        <f>IF(P6="x",1,0)</f>
        <v>0</v>
      </c>
      <c r="W6" s="155">
        <f>IF(Q6="x",1,0)</f>
        <v>0</v>
      </c>
    </row>
    <row r="7" spans="1:23" ht="15.75" thickBot="1">
      <c r="A7" s="156"/>
      <c r="B7" s="157"/>
      <c r="C7" s="158"/>
      <c r="D7" s="157"/>
      <c r="E7" s="146" t="s">
        <v>18</v>
      </c>
      <c r="F7" s="159" t="s">
        <v>221</v>
      </c>
      <c r="G7" s="160" t="s">
        <v>222</v>
      </c>
      <c r="H7" s="149"/>
      <c r="I7" s="150"/>
      <c r="J7" s="151"/>
      <c r="K7" s="152" t="s">
        <v>215</v>
      </c>
      <c r="L7" s="152"/>
      <c r="M7" s="152"/>
      <c r="N7" s="152"/>
      <c r="O7" s="153"/>
      <c r="P7" s="154"/>
      <c r="Q7" s="155"/>
      <c r="R7" s="154"/>
      <c r="S7" s="155">
        <v>20</v>
      </c>
      <c r="T7" s="696"/>
      <c r="U7" s="697"/>
      <c r="V7" s="161">
        <f aca="true" t="shared" si="0" ref="V7:W9">IF(P7="x",1,0)</f>
        <v>0</v>
      </c>
      <c r="W7" s="162">
        <f t="shared" si="0"/>
        <v>0</v>
      </c>
    </row>
    <row r="8" spans="1:23" ht="15">
      <c r="A8" s="108"/>
      <c r="B8" s="143" t="s">
        <v>223</v>
      </c>
      <c r="C8" s="163">
        <v>2</v>
      </c>
      <c r="D8" s="701" t="s">
        <v>224</v>
      </c>
      <c r="E8" s="164" t="s">
        <v>17</v>
      </c>
      <c r="F8" s="165" t="s">
        <v>225</v>
      </c>
      <c r="G8" s="166" t="s">
        <v>226</v>
      </c>
      <c r="H8" s="167"/>
      <c r="I8" s="168"/>
      <c r="J8" s="169" t="s">
        <v>210</v>
      </c>
      <c r="K8" s="170" t="s">
        <v>215</v>
      </c>
      <c r="L8" s="170"/>
      <c r="M8" s="170"/>
      <c r="N8" s="170"/>
      <c r="O8" s="171"/>
      <c r="P8" s="172"/>
      <c r="Q8" s="173"/>
      <c r="R8" s="172">
        <v>15</v>
      </c>
      <c r="S8" s="173"/>
      <c r="T8" s="692">
        <v>30</v>
      </c>
      <c r="U8" s="694">
        <v>10</v>
      </c>
      <c r="V8" s="172">
        <f t="shared" si="0"/>
        <v>0</v>
      </c>
      <c r="W8" s="173">
        <f t="shared" si="0"/>
        <v>0</v>
      </c>
    </row>
    <row r="9" spans="1:23" ht="15">
      <c r="A9" s="156"/>
      <c r="B9" s="157"/>
      <c r="C9" s="174"/>
      <c r="D9" s="702"/>
      <c r="E9" s="175" t="s">
        <v>18</v>
      </c>
      <c r="F9" s="176" t="s">
        <v>227</v>
      </c>
      <c r="G9" s="177" t="s">
        <v>226</v>
      </c>
      <c r="H9" s="178"/>
      <c r="I9" s="179" t="s">
        <v>210</v>
      </c>
      <c r="J9" s="180" t="s">
        <v>210</v>
      </c>
      <c r="K9" s="181" t="s">
        <v>215</v>
      </c>
      <c r="L9" s="181"/>
      <c r="M9" s="181"/>
      <c r="N9" s="181"/>
      <c r="O9" s="182"/>
      <c r="P9" s="161"/>
      <c r="Q9" s="162"/>
      <c r="R9" s="161">
        <v>15</v>
      </c>
      <c r="S9" s="162"/>
      <c r="T9" s="696"/>
      <c r="U9" s="697"/>
      <c r="V9" s="161">
        <f t="shared" si="0"/>
        <v>0</v>
      </c>
      <c r="W9" s="162">
        <f t="shared" si="0"/>
        <v>0</v>
      </c>
    </row>
    <row r="10" spans="1:23" ht="15.75" thickBot="1">
      <c r="A10" s="156"/>
      <c r="B10" s="157"/>
      <c r="C10" s="183"/>
      <c r="D10" s="120"/>
      <c r="E10" s="184" t="s">
        <v>19</v>
      </c>
      <c r="F10" s="185" t="s">
        <v>228</v>
      </c>
      <c r="G10" s="186" t="s">
        <v>226</v>
      </c>
      <c r="H10" s="187"/>
      <c r="I10" s="188"/>
      <c r="J10" s="189"/>
      <c r="K10" s="190" t="s">
        <v>216</v>
      </c>
      <c r="L10" s="190"/>
      <c r="M10" s="190"/>
      <c r="N10" s="190"/>
      <c r="O10" s="191"/>
      <c r="P10" s="192"/>
      <c r="Q10" s="193"/>
      <c r="R10" s="192"/>
      <c r="S10" s="193">
        <v>10</v>
      </c>
      <c r="T10" s="693"/>
      <c r="U10" s="695"/>
      <c r="V10" s="192">
        <f>IF(P10="x",1,0)</f>
        <v>0</v>
      </c>
      <c r="W10" s="193">
        <f>IF(Q10="x",1,0)</f>
        <v>0</v>
      </c>
    </row>
    <row r="11" spans="1:23" ht="15">
      <c r="A11" s="108"/>
      <c r="B11" s="143" t="s">
        <v>229</v>
      </c>
      <c r="C11" s="194">
        <v>3</v>
      </c>
      <c r="D11" s="701" t="s">
        <v>230</v>
      </c>
      <c r="E11" s="164" t="s">
        <v>17</v>
      </c>
      <c r="F11" s="195" t="s">
        <v>231</v>
      </c>
      <c r="G11" s="196" t="s">
        <v>232</v>
      </c>
      <c r="H11" s="167"/>
      <c r="I11" s="168"/>
      <c r="J11" s="169"/>
      <c r="K11" s="170" t="s">
        <v>215</v>
      </c>
      <c r="L11" s="170"/>
      <c r="M11" s="170"/>
      <c r="N11" s="170"/>
      <c r="O11" s="171"/>
      <c r="P11" s="172"/>
      <c r="Q11" s="173"/>
      <c r="R11" s="172">
        <v>30</v>
      </c>
      <c r="S11" s="173"/>
      <c r="T11" s="692">
        <v>30</v>
      </c>
      <c r="U11" s="698">
        <v>10</v>
      </c>
      <c r="V11" s="172">
        <f>IF(P11="x",1,0)</f>
        <v>0</v>
      </c>
      <c r="W11" s="173">
        <f>IF(Q11="x",1,0)</f>
        <v>0</v>
      </c>
    </row>
    <row r="12" spans="1:23" ht="15.75" thickBot="1">
      <c r="A12" s="117"/>
      <c r="B12" s="118"/>
      <c r="C12" s="197"/>
      <c r="D12" s="707"/>
      <c r="E12" s="198" t="s">
        <v>18</v>
      </c>
      <c r="F12" s="185" t="s">
        <v>233</v>
      </c>
      <c r="G12" s="186" t="s">
        <v>226</v>
      </c>
      <c r="H12" s="199"/>
      <c r="I12" s="200"/>
      <c r="J12" s="201"/>
      <c r="K12" s="202" t="s">
        <v>216</v>
      </c>
      <c r="L12" s="202"/>
      <c r="M12" s="202"/>
      <c r="N12" s="202"/>
      <c r="O12" s="203"/>
      <c r="P12" s="204"/>
      <c r="Q12" s="205"/>
      <c r="R12" s="204"/>
      <c r="S12" s="205">
        <v>10</v>
      </c>
      <c r="T12" s="693"/>
      <c r="U12" s="700"/>
      <c r="V12" s="204"/>
      <c r="W12" s="205"/>
    </row>
    <row r="13" spans="1:23" ht="15">
      <c r="A13" s="108"/>
      <c r="B13" s="206" t="s">
        <v>234</v>
      </c>
      <c r="C13" s="163">
        <v>4</v>
      </c>
      <c r="D13" s="701" t="s">
        <v>235</v>
      </c>
      <c r="E13" s="164" t="s">
        <v>17</v>
      </c>
      <c r="F13" s="165" t="s">
        <v>236</v>
      </c>
      <c r="G13" s="166" t="s">
        <v>237</v>
      </c>
      <c r="H13" s="167"/>
      <c r="I13" s="168"/>
      <c r="J13" s="169"/>
      <c r="K13" s="170" t="s">
        <v>215</v>
      </c>
      <c r="L13" s="170"/>
      <c r="M13" s="170"/>
      <c r="N13" s="170"/>
      <c r="O13" s="171"/>
      <c r="P13" s="172"/>
      <c r="Q13" s="173"/>
      <c r="R13" s="172">
        <v>10</v>
      </c>
      <c r="S13" s="173"/>
      <c r="T13" s="692">
        <v>20</v>
      </c>
      <c r="U13" s="694">
        <v>10</v>
      </c>
      <c r="V13" s="172">
        <f aca="true" t="shared" si="1" ref="V13:W28">IF(P13="x",1,0)</f>
        <v>0</v>
      </c>
      <c r="W13" s="173">
        <f t="shared" si="1"/>
        <v>0</v>
      </c>
    </row>
    <row r="14" spans="1:23" ht="30">
      <c r="A14" s="156"/>
      <c r="B14" s="157"/>
      <c r="C14" s="174"/>
      <c r="D14" s="702"/>
      <c r="E14" s="207" t="s">
        <v>18</v>
      </c>
      <c r="F14" s="208" t="s">
        <v>238</v>
      </c>
      <c r="G14" s="209" t="s">
        <v>239</v>
      </c>
      <c r="H14" s="178"/>
      <c r="I14" s="179"/>
      <c r="J14" s="180"/>
      <c r="K14" s="181" t="s">
        <v>215</v>
      </c>
      <c r="L14" s="181"/>
      <c r="M14" s="181"/>
      <c r="N14" s="181"/>
      <c r="O14" s="182"/>
      <c r="P14" s="161"/>
      <c r="Q14" s="162"/>
      <c r="R14" s="161">
        <v>10</v>
      </c>
      <c r="S14" s="162"/>
      <c r="T14" s="696"/>
      <c r="U14" s="697"/>
      <c r="V14" s="161">
        <f t="shared" si="1"/>
        <v>0</v>
      </c>
      <c r="W14" s="162">
        <f t="shared" si="1"/>
        <v>0</v>
      </c>
    </row>
    <row r="15" spans="1:23" ht="15.75" thickBot="1">
      <c r="A15" s="156"/>
      <c r="B15" s="157"/>
      <c r="C15" s="183"/>
      <c r="D15" s="120"/>
      <c r="E15" s="210" t="s">
        <v>19</v>
      </c>
      <c r="F15" s="211" t="s">
        <v>240</v>
      </c>
      <c r="G15" s="212" t="s">
        <v>241</v>
      </c>
      <c r="H15" s="187"/>
      <c r="I15" s="188"/>
      <c r="J15" s="189"/>
      <c r="K15" s="190" t="s">
        <v>216</v>
      </c>
      <c r="L15" s="190"/>
      <c r="M15" s="190"/>
      <c r="N15" s="190"/>
      <c r="O15" s="191"/>
      <c r="P15" s="192"/>
      <c r="Q15" s="193"/>
      <c r="R15" s="192"/>
      <c r="S15" s="193">
        <v>10</v>
      </c>
      <c r="T15" s="696"/>
      <c r="U15" s="697"/>
      <c r="V15" s="161"/>
      <c r="W15" s="162"/>
    </row>
    <row r="16" spans="1:23" ht="15">
      <c r="A16" s="108"/>
      <c r="B16" s="206" t="s">
        <v>242</v>
      </c>
      <c r="C16" s="163">
        <v>5</v>
      </c>
      <c r="D16" s="708" t="s">
        <v>243</v>
      </c>
      <c r="E16" s="164" t="s">
        <v>17</v>
      </c>
      <c r="F16" s="165" t="s">
        <v>244</v>
      </c>
      <c r="G16" s="166" t="s">
        <v>245</v>
      </c>
      <c r="H16" s="167"/>
      <c r="I16" s="213" t="s">
        <v>210</v>
      </c>
      <c r="J16" s="214" t="s">
        <v>210</v>
      </c>
      <c r="K16" s="215" t="s">
        <v>215</v>
      </c>
      <c r="L16" s="170"/>
      <c r="M16" s="170"/>
      <c r="N16" s="170"/>
      <c r="O16" s="171"/>
      <c r="P16" s="172"/>
      <c r="Q16" s="173"/>
      <c r="R16" s="172">
        <v>10</v>
      </c>
      <c r="S16" s="173"/>
      <c r="T16" s="692">
        <v>10</v>
      </c>
      <c r="U16" s="694">
        <v>20</v>
      </c>
      <c r="V16" s="172">
        <f t="shared" si="1"/>
        <v>0</v>
      </c>
      <c r="W16" s="173">
        <f t="shared" si="1"/>
        <v>0</v>
      </c>
    </row>
    <row r="17" spans="1:23" ht="15.75" thickBot="1">
      <c r="A17" s="156"/>
      <c r="B17" s="216"/>
      <c r="C17" s="174"/>
      <c r="D17" s="709"/>
      <c r="E17" s="198" t="s">
        <v>18</v>
      </c>
      <c r="F17" s="185" t="s">
        <v>246</v>
      </c>
      <c r="G17" s="186" t="s">
        <v>232</v>
      </c>
      <c r="H17" s="199"/>
      <c r="I17" s="217"/>
      <c r="J17" s="218"/>
      <c r="K17" s="219" t="s">
        <v>216</v>
      </c>
      <c r="L17" s="181"/>
      <c r="M17" s="181"/>
      <c r="N17" s="181"/>
      <c r="O17" s="182"/>
      <c r="P17" s="161"/>
      <c r="Q17" s="162"/>
      <c r="R17" s="161"/>
      <c r="S17" s="162">
        <v>20</v>
      </c>
      <c r="T17" s="696"/>
      <c r="U17" s="697"/>
      <c r="V17" s="161">
        <f t="shared" si="1"/>
        <v>0</v>
      </c>
      <c r="W17" s="162">
        <f t="shared" si="1"/>
        <v>0</v>
      </c>
    </row>
    <row r="18" spans="1:23" ht="30">
      <c r="A18" s="220" t="s">
        <v>247</v>
      </c>
      <c r="B18" s="221" t="s">
        <v>248</v>
      </c>
      <c r="C18" s="163">
        <v>6</v>
      </c>
      <c r="D18" s="222" t="s">
        <v>249</v>
      </c>
      <c r="E18" s="146" t="s">
        <v>17</v>
      </c>
      <c r="F18" s="176" t="s">
        <v>250</v>
      </c>
      <c r="G18" s="177" t="s">
        <v>251</v>
      </c>
      <c r="H18" s="223"/>
      <c r="I18" s="224"/>
      <c r="J18" s="225" t="s">
        <v>210</v>
      </c>
      <c r="K18" s="226" t="s">
        <v>215</v>
      </c>
      <c r="L18" s="170"/>
      <c r="M18" s="170"/>
      <c r="N18" s="170"/>
      <c r="O18" s="171"/>
      <c r="P18" s="172"/>
      <c r="Q18" s="173"/>
      <c r="R18" s="172">
        <v>10</v>
      </c>
      <c r="S18" s="173"/>
      <c r="T18" s="692">
        <v>20</v>
      </c>
      <c r="U18" s="694">
        <v>0</v>
      </c>
      <c r="V18" s="172">
        <f t="shared" si="1"/>
        <v>0</v>
      </c>
      <c r="W18" s="173">
        <f t="shared" si="1"/>
        <v>0</v>
      </c>
    </row>
    <row r="19" spans="1:23" ht="15.75" thickBot="1">
      <c r="A19" s="227"/>
      <c r="B19" s="228"/>
      <c r="C19" s="183"/>
      <c r="D19" s="229"/>
      <c r="E19" s="175" t="s">
        <v>18</v>
      </c>
      <c r="F19" s="176" t="s">
        <v>252</v>
      </c>
      <c r="G19" s="177" t="s">
        <v>253</v>
      </c>
      <c r="H19" s="230"/>
      <c r="I19" s="231"/>
      <c r="J19" s="232"/>
      <c r="K19" s="233" t="s">
        <v>215</v>
      </c>
      <c r="L19" s="152"/>
      <c r="M19" s="152"/>
      <c r="N19" s="152"/>
      <c r="O19" s="153"/>
      <c r="P19" s="154"/>
      <c r="Q19" s="155"/>
      <c r="R19" s="154">
        <v>10</v>
      </c>
      <c r="S19" s="155"/>
      <c r="T19" s="696"/>
      <c r="U19" s="697"/>
      <c r="V19" s="154"/>
      <c r="W19" s="155"/>
    </row>
    <row r="20" spans="1:23" ht="15">
      <c r="A20" s="234"/>
      <c r="B20" s="235"/>
      <c r="C20" s="236">
        <v>7</v>
      </c>
      <c r="D20" s="237" t="s">
        <v>254</v>
      </c>
      <c r="E20" s="164" t="s">
        <v>17</v>
      </c>
      <c r="F20" s="165" t="s">
        <v>255</v>
      </c>
      <c r="G20" s="166" t="s">
        <v>256</v>
      </c>
      <c r="H20" s="238"/>
      <c r="I20" s="224"/>
      <c r="J20" s="225"/>
      <c r="K20" s="226" t="s">
        <v>215</v>
      </c>
      <c r="L20" s="170"/>
      <c r="M20" s="170"/>
      <c r="N20" s="170"/>
      <c r="O20" s="171"/>
      <c r="P20" s="172"/>
      <c r="Q20" s="173"/>
      <c r="R20" s="172">
        <v>10</v>
      </c>
      <c r="S20" s="173"/>
      <c r="T20" s="692">
        <v>10</v>
      </c>
      <c r="U20" s="694">
        <v>10</v>
      </c>
      <c r="V20" s="172">
        <f t="shared" si="1"/>
        <v>0</v>
      </c>
      <c r="W20" s="173">
        <f t="shared" si="1"/>
        <v>0</v>
      </c>
    </row>
    <row r="21" spans="1:23" ht="15.75" thickBot="1">
      <c r="A21" s="239"/>
      <c r="B21" s="240"/>
      <c r="C21" s="241"/>
      <c r="D21" s="124"/>
      <c r="E21" s="198" t="s">
        <v>18</v>
      </c>
      <c r="F21" s="185" t="s">
        <v>257</v>
      </c>
      <c r="G21" s="186" t="s">
        <v>232</v>
      </c>
      <c r="H21" s="242"/>
      <c r="I21" s="243"/>
      <c r="J21" s="244"/>
      <c r="K21" s="245" t="s">
        <v>216</v>
      </c>
      <c r="L21" s="202"/>
      <c r="M21" s="202"/>
      <c r="N21" s="202"/>
      <c r="O21" s="203"/>
      <c r="P21" s="204"/>
      <c r="Q21" s="205"/>
      <c r="R21" s="204"/>
      <c r="S21" s="205">
        <v>10</v>
      </c>
      <c r="T21" s="693"/>
      <c r="U21" s="695"/>
      <c r="V21" s="204">
        <f t="shared" si="1"/>
        <v>0</v>
      </c>
      <c r="W21" s="205">
        <f t="shared" si="1"/>
        <v>0</v>
      </c>
    </row>
    <row r="22" spans="1:23" ht="30">
      <c r="A22" s="234"/>
      <c r="B22" s="235"/>
      <c r="C22" s="163">
        <v>8</v>
      </c>
      <c r="D22" s="246" t="s">
        <v>258</v>
      </c>
      <c r="E22" s="164" t="s">
        <v>17</v>
      </c>
      <c r="F22" s="247" t="s">
        <v>544</v>
      </c>
      <c r="G22" s="166" t="s">
        <v>545</v>
      </c>
      <c r="H22" s="238"/>
      <c r="I22" s="224"/>
      <c r="J22" s="225"/>
      <c r="K22" s="226" t="s">
        <v>216</v>
      </c>
      <c r="L22" s="170"/>
      <c r="M22" s="170"/>
      <c r="N22" s="170"/>
      <c r="O22" s="171"/>
      <c r="P22" s="172"/>
      <c r="Q22" s="173"/>
      <c r="R22" s="172">
        <v>20</v>
      </c>
      <c r="S22" s="173"/>
      <c r="T22" s="692">
        <v>40</v>
      </c>
      <c r="U22" s="694">
        <v>20</v>
      </c>
      <c r="V22" s="172">
        <f>IF(P23="x",1,0)</f>
        <v>0</v>
      </c>
      <c r="W22" s="173">
        <f>IF(Q23="x",1,0)</f>
        <v>0</v>
      </c>
    </row>
    <row r="23" spans="1:23" ht="15">
      <c r="A23" s="227"/>
      <c r="B23" s="228"/>
      <c r="C23" s="174"/>
      <c r="D23" s="248"/>
      <c r="E23" s="146" t="s">
        <v>18</v>
      </c>
      <c r="F23" s="249" t="s">
        <v>259</v>
      </c>
      <c r="G23" s="250" t="s">
        <v>260</v>
      </c>
      <c r="H23" s="223"/>
      <c r="I23" s="231"/>
      <c r="J23" s="232"/>
      <c r="K23" s="233" t="s">
        <v>215</v>
      </c>
      <c r="L23" s="152"/>
      <c r="M23" s="152"/>
      <c r="N23" s="152"/>
      <c r="O23" s="153"/>
      <c r="P23" s="154"/>
      <c r="Q23" s="155"/>
      <c r="R23" s="154">
        <v>10</v>
      </c>
      <c r="S23" s="155"/>
      <c r="T23" s="696"/>
      <c r="U23" s="697"/>
      <c r="V23" s="154"/>
      <c r="W23" s="155"/>
    </row>
    <row r="24" spans="1:23" ht="15">
      <c r="A24" s="227"/>
      <c r="B24" s="228"/>
      <c r="C24" s="183"/>
      <c r="D24" s="229"/>
      <c r="E24" s="175" t="s">
        <v>19</v>
      </c>
      <c r="F24" s="176" t="s">
        <v>261</v>
      </c>
      <c r="G24" s="177" t="s">
        <v>262</v>
      </c>
      <c r="H24" s="230"/>
      <c r="I24" s="251"/>
      <c r="J24" s="252"/>
      <c r="K24" s="253" t="s">
        <v>215</v>
      </c>
      <c r="L24" s="181"/>
      <c r="M24" s="181"/>
      <c r="N24" s="181"/>
      <c r="O24" s="182"/>
      <c r="P24" s="161"/>
      <c r="Q24" s="162"/>
      <c r="R24" s="161">
        <v>10</v>
      </c>
      <c r="S24" s="162"/>
      <c r="T24" s="696"/>
      <c r="U24" s="697"/>
      <c r="V24" s="161">
        <f t="shared" si="1"/>
        <v>0</v>
      </c>
      <c r="W24" s="162">
        <f t="shared" si="1"/>
        <v>0</v>
      </c>
    </row>
    <row r="25" spans="1:23" ht="15.75" thickBot="1">
      <c r="A25" s="239"/>
      <c r="B25" s="240"/>
      <c r="C25" s="254"/>
      <c r="D25" s="119"/>
      <c r="E25" s="198" t="s">
        <v>20</v>
      </c>
      <c r="F25" s="185" t="s">
        <v>263</v>
      </c>
      <c r="G25" s="186" t="s">
        <v>264</v>
      </c>
      <c r="H25" s="242"/>
      <c r="I25" s="255"/>
      <c r="J25" s="244"/>
      <c r="K25" s="245" t="s">
        <v>215</v>
      </c>
      <c r="L25" s="202"/>
      <c r="M25" s="202"/>
      <c r="N25" s="202"/>
      <c r="O25" s="203"/>
      <c r="P25" s="204"/>
      <c r="Q25" s="205"/>
      <c r="R25" s="204">
        <v>20</v>
      </c>
      <c r="S25" s="205"/>
      <c r="T25" s="693"/>
      <c r="U25" s="695"/>
      <c r="V25" s="204">
        <f t="shared" si="1"/>
        <v>0</v>
      </c>
      <c r="W25" s="205">
        <f t="shared" si="1"/>
        <v>0</v>
      </c>
    </row>
    <row r="26" spans="1:23" ht="15">
      <c r="A26" s="220" t="s">
        <v>265</v>
      </c>
      <c r="B26" s="221" t="s">
        <v>266</v>
      </c>
      <c r="C26" s="194">
        <v>9</v>
      </c>
      <c r="D26" s="246" t="s">
        <v>267</v>
      </c>
      <c r="E26" s="164" t="s">
        <v>17</v>
      </c>
      <c r="F26" s="147" t="s">
        <v>268</v>
      </c>
      <c r="G26" s="148" t="s">
        <v>269</v>
      </c>
      <c r="H26" s="238"/>
      <c r="I26" s="224"/>
      <c r="J26" s="225" t="s">
        <v>210</v>
      </c>
      <c r="K26" s="238" t="s">
        <v>215</v>
      </c>
      <c r="L26" s="215"/>
      <c r="M26" s="170"/>
      <c r="N26" s="170"/>
      <c r="O26" s="171"/>
      <c r="P26" s="172"/>
      <c r="Q26" s="173"/>
      <c r="R26" s="172">
        <v>10</v>
      </c>
      <c r="S26" s="173"/>
      <c r="T26" s="703">
        <v>10</v>
      </c>
      <c r="U26" s="694">
        <v>10</v>
      </c>
      <c r="V26" s="172">
        <f t="shared" si="1"/>
        <v>0</v>
      </c>
      <c r="W26" s="173">
        <f t="shared" si="1"/>
        <v>0</v>
      </c>
    </row>
    <row r="27" spans="1:23" ht="15.75" thickBot="1">
      <c r="A27" s="239"/>
      <c r="B27" s="240"/>
      <c r="C27" s="254"/>
      <c r="D27" s="119"/>
      <c r="E27" s="198" t="s">
        <v>18</v>
      </c>
      <c r="F27" s="256" t="s">
        <v>270</v>
      </c>
      <c r="G27" s="257" t="s">
        <v>271</v>
      </c>
      <c r="H27" s="242"/>
      <c r="I27" s="243"/>
      <c r="J27" s="244"/>
      <c r="K27" s="242" t="s">
        <v>216</v>
      </c>
      <c r="L27" s="258"/>
      <c r="M27" s="202"/>
      <c r="N27" s="202"/>
      <c r="O27" s="203"/>
      <c r="P27" s="204"/>
      <c r="Q27" s="205"/>
      <c r="R27" s="204"/>
      <c r="S27" s="205">
        <v>10</v>
      </c>
      <c r="T27" s="704"/>
      <c r="U27" s="695"/>
      <c r="V27" s="204">
        <f t="shared" si="1"/>
        <v>0</v>
      </c>
      <c r="W27" s="205">
        <f t="shared" si="1"/>
        <v>0</v>
      </c>
    </row>
    <row r="28" spans="1:23" ht="30">
      <c r="A28" s="227"/>
      <c r="B28" s="228"/>
      <c r="C28" s="174">
        <v>10</v>
      </c>
      <c r="D28" s="705" t="s">
        <v>272</v>
      </c>
      <c r="E28" s="164" t="s">
        <v>17</v>
      </c>
      <c r="F28" s="165" t="s">
        <v>273</v>
      </c>
      <c r="G28" s="166" t="s">
        <v>274</v>
      </c>
      <c r="H28" s="238"/>
      <c r="I28" s="259"/>
      <c r="J28" s="225"/>
      <c r="K28" s="226" t="s">
        <v>215</v>
      </c>
      <c r="L28" s="152"/>
      <c r="M28" s="152"/>
      <c r="N28" s="152"/>
      <c r="O28" s="153"/>
      <c r="P28" s="154"/>
      <c r="Q28" s="155"/>
      <c r="R28" s="154">
        <v>10</v>
      </c>
      <c r="S28" s="155"/>
      <c r="T28" s="696">
        <v>20</v>
      </c>
      <c r="U28" s="697">
        <v>20</v>
      </c>
      <c r="V28" s="154">
        <f t="shared" si="1"/>
        <v>0</v>
      </c>
      <c r="W28" s="155">
        <f t="shared" si="1"/>
        <v>0</v>
      </c>
    </row>
    <row r="29" spans="1:23" ht="27">
      <c r="A29" s="227"/>
      <c r="B29" s="228"/>
      <c r="C29" s="174"/>
      <c r="D29" s="706"/>
      <c r="E29" s="146" t="s">
        <v>18</v>
      </c>
      <c r="F29" s="260" t="s">
        <v>546</v>
      </c>
      <c r="G29" s="261" t="s">
        <v>275</v>
      </c>
      <c r="H29" s="223"/>
      <c r="I29" s="231"/>
      <c r="J29" s="232" t="s">
        <v>210</v>
      </c>
      <c r="K29" s="233" t="s">
        <v>216</v>
      </c>
      <c r="L29" s="152"/>
      <c r="M29" s="152"/>
      <c r="N29" s="152"/>
      <c r="O29" s="153"/>
      <c r="P29" s="154"/>
      <c r="Q29" s="155"/>
      <c r="R29" s="154"/>
      <c r="S29" s="155">
        <v>20</v>
      </c>
      <c r="T29" s="696"/>
      <c r="U29" s="697"/>
      <c r="V29" s="154"/>
      <c r="W29" s="155"/>
    </row>
    <row r="30" spans="1:23" ht="15.75" thickBot="1">
      <c r="A30" s="227"/>
      <c r="B30" s="228"/>
      <c r="C30" s="183"/>
      <c r="D30" s="229"/>
      <c r="E30" s="175" t="s">
        <v>19</v>
      </c>
      <c r="F30" s="159" t="s">
        <v>276</v>
      </c>
      <c r="G30" s="160" t="s">
        <v>264</v>
      </c>
      <c r="H30" s="230"/>
      <c r="I30" s="251"/>
      <c r="J30" s="252" t="s">
        <v>210</v>
      </c>
      <c r="K30" s="253" t="s">
        <v>215</v>
      </c>
      <c r="L30" s="181"/>
      <c r="M30" s="181"/>
      <c r="N30" s="181"/>
      <c r="O30" s="182"/>
      <c r="P30" s="161"/>
      <c r="Q30" s="162"/>
      <c r="R30" s="161">
        <v>10</v>
      </c>
      <c r="S30" s="162"/>
      <c r="T30" s="696"/>
      <c r="U30" s="697"/>
      <c r="V30" s="161">
        <f aca="true" t="shared" si="2" ref="V30:W38">IF(P30="x",1,0)</f>
        <v>0</v>
      </c>
      <c r="W30" s="162">
        <f t="shared" si="2"/>
        <v>0</v>
      </c>
    </row>
    <row r="31" spans="1:23" ht="30">
      <c r="A31" s="234"/>
      <c r="B31" s="235"/>
      <c r="C31" s="163">
        <v>11</v>
      </c>
      <c r="D31" s="144" t="s">
        <v>277</v>
      </c>
      <c r="E31" s="164" t="s">
        <v>17</v>
      </c>
      <c r="F31" s="165" t="s">
        <v>278</v>
      </c>
      <c r="G31" s="166" t="s">
        <v>279</v>
      </c>
      <c r="H31" s="238"/>
      <c r="I31" s="259"/>
      <c r="J31" s="225"/>
      <c r="K31" s="226" t="s">
        <v>215</v>
      </c>
      <c r="L31" s="170"/>
      <c r="M31" s="170"/>
      <c r="N31" s="170"/>
      <c r="O31" s="171"/>
      <c r="P31" s="172"/>
      <c r="Q31" s="173"/>
      <c r="R31" s="172">
        <v>10</v>
      </c>
      <c r="S31" s="173"/>
      <c r="T31" s="692">
        <v>20</v>
      </c>
      <c r="U31" s="694">
        <v>0</v>
      </c>
      <c r="V31" s="172">
        <f t="shared" si="2"/>
        <v>0</v>
      </c>
      <c r="W31" s="173">
        <f t="shared" si="2"/>
        <v>0</v>
      </c>
    </row>
    <row r="32" spans="1:23" ht="15.75" thickBot="1">
      <c r="A32" s="156"/>
      <c r="B32" s="158"/>
      <c r="C32" s="121"/>
      <c r="D32" s="158"/>
      <c r="E32" s="198" t="s">
        <v>18</v>
      </c>
      <c r="F32" s="185" t="s">
        <v>280</v>
      </c>
      <c r="G32" s="186" t="s">
        <v>279</v>
      </c>
      <c r="H32" s="262"/>
      <c r="I32" s="263"/>
      <c r="J32" s="264"/>
      <c r="K32" s="265" t="s">
        <v>215</v>
      </c>
      <c r="L32" s="190"/>
      <c r="M32" s="190"/>
      <c r="N32" s="190"/>
      <c r="O32" s="191"/>
      <c r="P32" s="192"/>
      <c r="Q32" s="193"/>
      <c r="R32" s="192">
        <v>10</v>
      </c>
      <c r="S32" s="193"/>
      <c r="T32" s="693"/>
      <c r="U32" s="695"/>
      <c r="V32" s="192">
        <f t="shared" si="2"/>
        <v>0</v>
      </c>
      <c r="W32" s="193">
        <f t="shared" si="2"/>
        <v>0</v>
      </c>
    </row>
    <row r="33" spans="1:23" ht="15">
      <c r="A33" s="266"/>
      <c r="B33" s="267"/>
      <c r="C33" s="163">
        <v>12</v>
      </c>
      <c r="D33" s="144" t="s">
        <v>281</v>
      </c>
      <c r="E33" s="164" t="s">
        <v>17</v>
      </c>
      <c r="F33" s="165" t="s">
        <v>282</v>
      </c>
      <c r="G33" s="166" t="s">
        <v>283</v>
      </c>
      <c r="H33" s="268"/>
      <c r="I33" s="259"/>
      <c r="J33" s="225"/>
      <c r="K33" s="226" t="s">
        <v>215</v>
      </c>
      <c r="L33" s="170"/>
      <c r="M33" s="170"/>
      <c r="N33" s="170"/>
      <c r="O33" s="171"/>
      <c r="P33" s="172"/>
      <c r="Q33" s="173"/>
      <c r="R33" s="172">
        <v>35</v>
      </c>
      <c r="S33" s="173"/>
      <c r="T33" s="692">
        <v>50</v>
      </c>
      <c r="U33" s="694">
        <v>10</v>
      </c>
      <c r="V33" s="172">
        <f t="shared" si="2"/>
        <v>0</v>
      </c>
      <c r="W33" s="173">
        <f t="shared" si="2"/>
        <v>0</v>
      </c>
    </row>
    <row r="34" spans="1:23" ht="15">
      <c r="A34" s="227"/>
      <c r="B34" s="228"/>
      <c r="C34" s="269"/>
      <c r="D34" s="158"/>
      <c r="E34" s="175" t="s">
        <v>18</v>
      </c>
      <c r="F34" s="176" t="s">
        <v>284</v>
      </c>
      <c r="G34" s="177" t="s">
        <v>283</v>
      </c>
      <c r="H34" s="270"/>
      <c r="I34" s="271"/>
      <c r="J34" s="252"/>
      <c r="K34" s="253" t="s">
        <v>215</v>
      </c>
      <c r="L34" s="181"/>
      <c r="M34" s="181"/>
      <c r="N34" s="181"/>
      <c r="O34" s="182"/>
      <c r="P34" s="161"/>
      <c r="Q34" s="162"/>
      <c r="R34" s="161">
        <v>15</v>
      </c>
      <c r="S34" s="162"/>
      <c r="T34" s="696"/>
      <c r="U34" s="697"/>
      <c r="V34" s="161">
        <f t="shared" si="2"/>
        <v>0</v>
      </c>
      <c r="W34" s="162">
        <f t="shared" si="2"/>
        <v>0</v>
      </c>
    </row>
    <row r="35" spans="1:23" ht="15.75" thickBot="1">
      <c r="A35" s="117"/>
      <c r="B35" s="118"/>
      <c r="C35" s="119"/>
      <c r="D35" s="119"/>
      <c r="E35" s="198" t="s">
        <v>19</v>
      </c>
      <c r="F35" s="185" t="s">
        <v>285</v>
      </c>
      <c r="G35" s="186" t="s">
        <v>232</v>
      </c>
      <c r="H35" s="272"/>
      <c r="I35" s="255"/>
      <c r="J35" s="244"/>
      <c r="K35" s="245" t="s">
        <v>216</v>
      </c>
      <c r="L35" s="202"/>
      <c r="M35" s="202"/>
      <c r="N35" s="202"/>
      <c r="O35" s="203"/>
      <c r="P35" s="204"/>
      <c r="Q35" s="205"/>
      <c r="R35" s="204"/>
      <c r="S35" s="205">
        <v>10</v>
      </c>
      <c r="T35" s="693"/>
      <c r="U35" s="695"/>
      <c r="V35" s="204">
        <f t="shared" si="2"/>
        <v>0</v>
      </c>
      <c r="W35" s="205">
        <f t="shared" si="2"/>
        <v>0</v>
      </c>
    </row>
    <row r="36" spans="1:23" ht="15">
      <c r="A36" s="220" t="s">
        <v>286</v>
      </c>
      <c r="B36" s="221" t="s">
        <v>287</v>
      </c>
      <c r="C36" s="163">
        <v>13</v>
      </c>
      <c r="D36" s="273" t="s">
        <v>288</v>
      </c>
      <c r="E36" s="164" t="s">
        <v>17</v>
      </c>
      <c r="F36" s="176" t="s">
        <v>289</v>
      </c>
      <c r="G36" s="177" t="s">
        <v>290</v>
      </c>
      <c r="H36" s="238"/>
      <c r="I36" s="259" t="s">
        <v>210</v>
      </c>
      <c r="J36" s="225" t="s">
        <v>210</v>
      </c>
      <c r="K36" s="226" t="s">
        <v>215</v>
      </c>
      <c r="L36" s="170"/>
      <c r="M36" s="170"/>
      <c r="N36" s="170"/>
      <c r="O36" s="171"/>
      <c r="P36" s="172"/>
      <c r="Q36" s="173"/>
      <c r="R36" s="172">
        <v>20</v>
      </c>
      <c r="S36" s="173"/>
      <c r="T36" s="692">
        <v>50</v>
      </c>
      <c r="U36" s="694">
        <v>10</v>
      </c>
      <c r="V36" s="172">
        <f t="shared" si="2"/>
        <v>0</v>
      </c>
      <c r="W36" s="173">
        <f t="shared" si="2"/>
        <v>0</v>
      </c>
    </row>
    <row r="37" spans="1:23" ht="15">
      <c r="A37" s="156"/>
      <c r="B37" s="157"/>
      <c r="C37" s="229"/>
      <c r="D37" s="229"/>
      <c r="E37" s="175" t="s">
        <v>18</v>
      </c>
      <c r="F37" s="176" t="s">
        <v>291</v>
      </c>
      <c r="G37" s="177" t="s">
        <v>292</v>
      </c>
      <c r="H37" s="230"/>
      <c r="I37" s="271" t="s">
        <v>210</v>
      </c>
      <c r="J37" s="252" t="s">
        <v>210</v>
      </c>
      <c r="K37" s="253" t="s">
        <v>215</v>
      </c>
      <c r="L37" s="181"/>
      <c r="M37" s="181"/>
      <c r="N37" s="181"/>
      <c r="O37" s="182"/>
      <c r="P37" s="161"/>
      <c r="Q37" s="162"/>
      <c r="R37" s="161">
        <v>15</v>
      </c>
      <c r="S37" s="162"/>
      <c r="T37" s="696"/>
      <c r="U37" s="697"/>
      <c r="V37" s="161">
        <f t="shared" si="2"/>
        <v>0</v>
      </c>
      <c r="W37" s="162">
        <f t="shared" si="2"/>
        <v>0</v>
      </c>
    </row>
    <row r="38" spans="1:23" ht="15">
      <c r="A38" s="156"/>
      <c r="B38" s="157"/>
      <c r="C38" s="229"/>
      <c r="D38" s="229"/>
      <c r="E38" s="175" t="s">
        <v>19</v>
      </c>
      <c r="F38" s="176" t="s">
        <v>293</v>
      </c>
      <c r="G38" s="177" t="s">
        <v>294</v>
      </c>
      <c r="H38" s="230"/>
      <c r="I38" s="251"/>
      <c r="J38" s="252" t="s">
        <v>210</v>
      </c>
      <c r="K38" s="253" t="s">
        <v>215</v>
      </c>
      <c r="L38" s="181"/>
      <c r="M38" s="181"/>
      <c r="N38" s="181"/>
      <c r="O38" s="182"/>
      <c r="P38" s="161"/>
      <c r="Q38" s="162"/>
      <c r="R38" s="161">
        <v>15</v>
      </c>
      <c r="S38" s="162"/>
      <c r="T38" s="696"/>
      <c r="U38" s="697"/>
      <c r="V38" s="161">
        <f t="shared" si="2"/>
        <v>0</v>
      </c>
      <c r="W38" s="162">
        <f t="shared" si="2"/>
        <v>0</v>
      </c>
    </row>
    <row r="39" spans="1:23" ht="15">
      <c r="A39" s="156"/>
      <c r="B39" s="157"/>
      <c r="C39" s="229"/>
      <c r="D39" s="229"/>
      <c r="E39" s="175" t="s">
        <v>20</v>
      </c>
      <c r="F39" s="176" t="s">
        <v>295</v>
      </c>
      <c r="G39" s="177" t="s">
        <v>296</v>
      </c>
      <c r="H39" s="253"/>
      <c r="I39" s="271"/>
      <c r="J39" s="252"/>
      <c r="K39" s="253" t="s">
        <v>216</v>
      </c>
      <c r="L39" s="181"/>
      <c r="M39" s="181"/>
      <c r="N39" s="181"/>
      <c r="O39" s="182"/>
      <c r="P39" s="161"/>
      <c r="Q39" s="162"/>
      <c r="R39" s="161"/>
      <c r="S39" s="162">
        <v>5</v>
      </c>
      <c r="T39" s="696"/>
      <c r="U39" s="697"/>
      <c r="V39" s="192"/>
      <c r="W39" s="193"/>
    </row>
    <row r="40" spans="1:23" ht="15.75" thickBot="1">
      <c r="A40" s="227"/>
      <c r="B40" s="228"/>
      <c r="C40" s="229"/>
      <c r="D40" s="229"/>
      <c r="E40" s="198" t="s">
        <v>74</v>
      </c>
      <c r="F40" s="185" t="s">
        <v>297</v>
      </c>
      <c r="G40" s="186" t="s">
        <v>232</v>
      </c>
      <c r="H40" s="262"/>
      <c r="I40" s="263" t="s">
        <v>210</v>
      </c>
      <c r="J40" s="264" t="s">
        <v>210</v>
      </c>
      <c r="K40" s="265" t="s">
        <v>216</v>
      </c>
      <c r="L40" s="190"/>
      <c r="M40" s="190"/>
      <c r="N40" s="190"/>
      <c r="O40" s="191"/>
      <c r="P40" s="192"/>
      <c r="Q40" s="193"/>
      <c r="R40" s="192"/>
      <c r="S40" s="193">
        <v>5</v>
      </c>
      <c r="T40" s="693"/>
      <c r="U40" s="695"/>
      <c r="V40" s="192">
        <f aca="true" t="shared" si="3" ref="V40:W56">IF(P40="x",1,0)</f>
        <v>0</v>
      </c>
      <c r="W40" s="193">
        <f t="shared" si="3"/>
        <v>0</v>
      </c>
    </row>
    <row r="41" spans="1:23" ht="15">
      <c r="A41" s="220" t="s">
        <v>298</v>
      </c>
      <c r="B41" s="274" t="s">
        <v>299</v>
      </c>
      <c r="C41" s="163">
        <v>14</v>
      </c>
      <c r="D41" s="144" t="s">
        <v>300</v>
      </c>
      <c r="E41" s="275" t="s">
        <v>17</v>
      </c>
      <c r="F41" s="276" t="s">
        <v>301</v>
      </c>
      <c r="G41" s="277" t="s">
        <v>302</v>
      </c>
      <c r="H41" s="238"/>
      <c r="I41" s="271"/>
      <c r="J41" s="225"/>
      <c r="K41" s="226" t="s">
        <v>215</v>
      </c>
      <c r="L41" s="170"/>
      <c r="M41" s="170"/>
      <c r="N41" s="170"/>
      <c r="O41" s="171"/>
      <c r="P41" s="172"/>
      <c r="Q41" s="173"/>
      <c r="R41" s="172">
        <v>5</v>
      </c>
      <c r="S41" s="173"/>
      <c r="T41" s="692">
        <v>25</v>
      </c>
      <c r="U41" s="698">
        <v>0</v>
      </c>
      <c r="V41" s="172">
        <f t="shared" si="3"/>
        <v>0</v>
      </c>
      <c r="W41" s="173">
        <f t="shared" si="3"/>
        <v>0</v>
      </c>
    </row>
    <row r="42" spans="1:23" ht="15">
      <c r="A42" s="278"/>
      <c r="B42" s="279" t="s">
        <v>303</v>
      </c>
      <c r="C42" s="183"/>
      <c r="D42" s="229"/>
      <c r="E42" s="280" t="s">
        <v>18</v>
      </c>
      <c r="F42" s="195" t="s">
        <v>304</v>
      </c>
      <c r="G42" s="281" t="s">
        <v>302</v>
      </c>
      <c r="H42" s="223"/>
      <c r="I42" s="223"/>
      <c r="J42" s="232"/>
      <c r="K42" s="233" t="s">
        <v>215</v>
      </c>
      <c r="L42" s="152"/>
      <c r="M42" s="152"/>
      <c r="N42" s="152"/>
      <c r="O42" s="153"/>
      <c r="P42" s="154"/>
      <c r="Q42" s="155"/>
      <c r="R42" s="154">
        <v>5</v>
      </c>
      <c r="S42" s="155"/>
      <c r="T42" s="696"/>
      <c r="U42" s="699"/>
      <c r="V42" s="154"/>
      <c r="W42" s="155"/>
    </row>
    <row r="43" spans="1:23" ht="15">
      <c r="A43" s="227"/>
      <c r="B43" s="228"/>
      <c r="C43" s="183"/>
      <c r="D43" s="229"/>
      <c r="E43" s="282" t="s">
        <v>19</v>
      </c>
      <c r="F43" s="283" t="s">
        <v>305</v>
      </c>
      <c r="G43" s="281" t="s">
        <v>302</v>
      </c>
      <c r="H43" s="230"/>
      <c r="I43" s="271"/>
      <c r="J43" s="252"/>
      <c r="K43" s="253" t="s">
        <v>215</v>
      </c>
      <c r="L43" s="181"/>
      <c r="M43" s="181"/>
      <c r="N43" s="181"/>
      <c r="O43" s="182"/>
      <c r="P43" s="161"/>
      <c r="Q43" s="162"/>
      <c r="R43" s="161">
        <v>5</v>
      </c>
      <c r="S43" s="162"/>
      <c r="T43" s="696"/>
      <c r="U43" s="699"/>
      <c r="V43" s="161">
        <f t="shared" si="3"/>
        <v>0</v>
      </c>
      <c r="W43" s="162">
        <f t="shared" si="3"/>
        <v>0</v>
      </c>
    </row>
    <row r="44" spans="1:23" ht="15">
      <c r="A44" s="227"/>
      <c r="B44" s="228"/>
      <c r="C44" s="183"/>
      <c r="D44" s="229"/>
      <c r="E44" s="282" t="s">
        <v>20</v>
      </c>
      <c r="F44" s="284" t="s">
        <v>306</v>
      </c>
      <c r="G44" s="285" t="s">
        <v>232</v>
      </c>
      <c r="H44" s="230"/>
      <c r="I44" s="271"/>
      <c r="J44" s="252"/>
      <c r="K44" s="253" t="s">
        <v>215</v>
      </c>
      <c r="L44" s="181"/>
      <c r="M44" s="181"/>
      <c r="N44" s="181"/>
      <c r="O44" s="182"/>
      <c r="P44" s="161"/>
      <c r="Q44" s="162"/>
      <c r="R44" s="161">
        <v>5</v>
      </c>
      <c r="S44" s="162"/>
      <c r="T44" s="696"/>
      <c r="U44" s="699"/>
      <c r="V44" s="161"/>
      <c r="W44" s="162"/>
    </row>
    <row r="45" spans="1:23" ht="30.75" thickBot="1">
      <c r="A45" s="227"/>
      <c r="B45" s="228"/>
      <c r="C45" s="183"/>
      <c r="D45" s="229"/>
      <c r="E45" s="286" t="s">
        <v>74</v>
      </c>
      <c r="F45" s="287" t="s">
        <v>307</v>
      </c>
      <c r="G45" s="288" t="s">
        <v>308</v>
      </c>
      <c r="H45" s="289"/>
      <c r="I45" s="263"/>
      <c r="J45" s="264"/>
      <c r="K45" s="265" t="s">
        <v>215</v>
      </c>
      <c r="L45" s="190"/>
      <c r="M45" s="190"/>
      <c r="N45" s="190"/>
      <c r="O45" s="191"/>
      <c r="P45" s="192"/>
      <c r="Q45" s="193"/>
      <c r="R45" s="192">
        <v>5</v>
      </c>
      <c r="S45" s="193"/>
      <c r="T45" s="693"/>
      <c r="U45" s="700"/>
      <c r="V45" s="192">
        <f t="shared" si="3"/>
        <v>0</v>
      </c>
      <c r="W45" s="193">
        <f t="shared" si="3"/>
        <v>0</v>
      </c>
    </row>
    <row r="46" spans="1:23" ht="15">
      <c r="A46" s="234"/>
      <c r="B46" s="235"/>
      <c r="C46" s="163">
        <v>15</v>
      </c>
      <c r="D46" s="701" t="s">
        <v>309</v>
      </c>
      <c r="E46" s="275" t="s">
        <v>17</v>
      </c>
      <c r="F46" s="276" t="s">
        <v>310</v>
      </c>
      <c r="G46" s="277" t="s">
        <v>311</v>
      </c>
      <c r="H46" s="268"/>
      <c r="I46" s="259"/>
      <c r="J46" s="225"/>
      <c r="K46" s="226" t="s">
        <v>215</v>
      </c>
      <c r="L46" s="170"/>
      <c r="M46" s="170"/>
      <c r="N46" s="170"/>
      <c r="O46" s="171"/>
      <c r="P46" s="172"/>
      <c r="Q46" s="173"/>
      <c r="R46" s="172">
        <v>5</v>
      </c>
      <c r="S46" s="173"/>
      <c r="T46" s="696">
        <v>10</v>
      </c>
      <c r="U46" s="699">
        <v>10</v>
      </c>
      <c r="V46" s="172">
        <f t="shared" si="3"/>
        <v>0</v>
      </c>
      <c r="W46" s="173">
        <f t="shared" si="3"/>
        <v>0</v>
      </c>
    </row>
    <row r="47" spans="1:23" ht="15">
      <c r="A47" s="227"/>
      <c r="B47" s="228"/>
      <c r="C47" s="290"/>
      <c r="D47" s="702"/>
      <c r="E47" s="282" t="s">
        <v>18</v>
      </c>
      <c r="F47" s="283" t="s">
        <v>312</v>
      </c>
      <c r="G47" s="291" t="s">
        <v>313</v>
      </c>
      <c r="H47" s="230"/>
      <c r="I47" s="251"/>
      <c r="J47" s="252"/>
      <c r="K47" s="253" t="s">
        <v>215</v>
      </c>
      <c r="L47" s="181"/>
      <c r="M47" s="181"/>
      <c r="N47" s="181"/>
      <c r="O47" s="182"/>
      <c r="P47" s="161"/>
      <c r="Q47" s="162"/>
      <c r="R47" s="161">
        <v>5</v>
      </c>
      <c r="S47" s="162"/>
      <c r="T47" s="696"/>
      <c r="U47" s="699"/>
      <c r="V47" s="161">
        <f t="shared" si="3"/>
        <v>0</v>
      </c>
      <c r="W47" s="162">
        <f t="shared" si="3"/>
        <v>0</v>
      </c>
    </row>
    <row r="48" spans="1:23" ht="15.75" thickBot="1">
      <c r="A48" s="239"/>
      <c r="B48" s="240"/>
      <c r="C48" s="254"/>
      <c r="D48" s="119"/>
      <c r="E48" s="292" t="s">
        <v>19</v>
      </c>
      <c r="F48" s="293" t="s">
        <v>314</v>
      </c>
      <c r="G48" s="294" t="s">
        <v>232</v>
      </c>
      <c r="H48" s="272"/>
      <c r="I48" s="255"/>
      <c r="J48" s="244"/>
      <c r="K48" s="245" t="s">
        <v>216</v>
      </c>
      <c r="L48" s="202"/>
      <c r="M48" s="202"/>
      <c r="N48" s="202"/>
      <c r="O48" s="203"/>
      <c r="P48" s="204"/>
      <c r="Q48" s="205"/>
      <c r="R48" s="204"/>
      <c r="S48" s="205">
        <v>10</v>
      </c>
      <c r="T48" s="693"/>
      <c r="U48" s="700"/>
      <c r="V48" s="204">
        <f t="shared" si="3"/>
        <v>0</v>
      </c>
      <c r="W48" s="205">
        <f t="shared" si="3"/>
        <v>0</v>
      </c>
    </row>
    <row r="49" spans="1:23" ht="15">
      <c r="A49" s="220" t="s">
        <v>315</v>
      </c>
      <c r="B49" s="221" t="s">
        <v>316</v>
      </c>
      <c r="C49" s="163">
        <v>16</v>
      </c>
      <c r="D49" s="144" t="s">
        <v>317</v>
      </c>
      <c r="E49" s="164" t="s">
        <v>17</v>
      </c>
      <c r="F49" s="176" t="s">
        <v>318</v>
      </c>
      <c r="G49" s="177" t="s">
        <v>319</v>
      </c>
      <c r="H49" s="268"/>
      <c r="I49" s="259" t="s">
        <v>210</v>
      </c>
      <c r="J49" s="225" t="s">
        <v>210</v>
      </c>
      <c r="K49" s="226" t="s">
        <v>215</v>
      </c>
      <c r="L49" s="170"/>
      <c r="M49" s="170"/>
      <c r="N49" s="170"/>
      <c r="O49" s="171"/>
      <c r="P49" s="172"/>
      <c r="Q49" s="173"/>
      <c r="R49" s="172">
        <v>15</v>
      </c>
      <c r="S49" s="173"/>
      <c r="T49" s="692">
        <v>40</v>
      </c>
      <c r="U49" s="694">
        <v>10</v>
      </c>
      <c r="V49" s="172">
        <f t="shared" si="3"/>
        <v>0</v>
      </c>
      <c r="W49" s="173">
        <f t="shared" si="3"/>
        <v>0</v>
      </c>
    </row>
    <row r="50" spans="1:23" ht="15">
      <c r="A50" s="227"/>
      <c r="B50" s="228"/>
      <c r="C50" s="183"/>
      <c r="D50" s="229"/>
      <c r="E50" s="175" t="s">
        <v>18</v>
      </c>
      <c r="F50" s="195" t="s">
        <v>320</v>
      </c>
      <c r="G50" s="196" t="s">
        <v>319</v>
      </c>
      <c r="H50" s="270"/>
      <c r="I50" s="271"/>
      <c r="J50" s="252"/>
      <c r="K50" s="253" t="s">
        <v>215</v>
      </c>
      <c r="L50" s="181"/>
      <c r="M50" s="181"/>
      <c r="N50" s="181"/>
      <c r="O50" s="182"/>
      <c r="P50" s="161"/>
      <c r="Q50" s="162"/>
      <c r="R50" s="161">
        <v>10</v>
      </c>
      <c r="S50" s="162"/>
      <c r="T50" s="696"/>
      <c r="U50" s="697"/>
      <c r="V50" s="161"/>
      <c r="W50" s="162"/>
    </row>
    <row r="51" spans="1:23" ht="15">
      <c r="A51" s="227"/>
      <c r="B51" s="228"/>
      <c r="C51" s="183"/>
      <c r="D51" s="229"/>
      <c r="E51" s="175" t="s">
        <v>19</v>
      </c>
      <c r="F51" s="176" t="s">
        <v>321</v>
      </c>
      <c r="G51" s="177" t="s">
        <v>232</v>
      </c>
      <c r="H51" s="270"/>
      <c r="I51" s="271" t="s">
        <v>210</v>
      </c>
      <c r="J51" s="252" t="s">
        <v>210</v>
      </c>
      <c r="K51" s="253" t="s">
        <v>215</v>
      </c>
      <c r="L51" s="181"/>
      <c r="M51" s="181"/>
      <c r="N51" s="181"/>
      <c r="O51" s="182"/>
      <c r="P51" s="161"/>
      <c r="Q51" s="162"/>
      <c r="R51" s="161">
        <v>15</v>
      </c>
      <c r="S51" s="162"/>
      <c r="T51" s="696"/>
      <c r="U51" s="697"/>
      <c r="V51" s="161">
        <f t="shared" si="3"/>
        <v>0</v>
      </c>
      <c r="W51" s="162">
        <f t="shared" si="3"/>
        <v>0</v>
      </c>
    </row>
    <row r="52" spans="1:23" ht="15.75" thickBot="1">
      <c r="A52" s="239"/>
      <c r="B52" s="240"/>
      <c r="C52" s="254"/>
      <c r="D52" s="119"/>
      <c r="E52" s="198" t="s">
        <v>20</v>
      </c>
      <c r="F52" s="185" t="s">
        <v>322</v>
      </c>
      <c r="G52" s="186" t="s">
        <v>232</v>
      </c>
      <c r="H52" s="272"/>
      <c r="I52" s="255" t="s">
        <v>210</v>
      </c>
      <c r="J52" s="244" t="s">
        <v>210</v>
      </c>
      <c r="K52" s="245" t="s">
        <v>216</v>
      </c>
      <c r="L52" s="202"/>
      <c r="M52" s="202"/>
      <c r="N52" s="202"/>
      <c r="O52" s="203"/>
      <c r="P52" s="204"/>
      <c r="Q52" s="205"/>
      <c r="R52" s="204"/>
      <c r="S52" s="205">
        <v>10</v>
      </c>
      <c r="T52" s="693"/>
      <c r="U52" s="695"/>
      <c r="V52" s="204">
        <f t="shared" si="3"/>
        <v>0</v>
      </c>
      <c r="W52" s="205">
        <f t="shared" si="3"/>
        <v>0</v>
      </c>
    </row>
    <row r="53" spans="1:23" ht="15">
      <c r="A53" s="295" t="s">
        <v>323</v>
      </c>
      <c r="B53" s="296" t="s">
        <v>324</v>
      </c>
      <c r="C53" s="174">
        <v>17</v>
      </c>
      <c r="D53" s="297" t="s">
        <v>325</v>
      </c>
      <c r="E53" s="175" t="s">
        <v>17</v>
      </c>
      <c r="F53" s="176" t="s">
        <v>324</v>
      </c>
      <c r="G53" s="177" t="s">
        <v>326</v>
      </c>
      <c r="H53" s="270"/>
      <c r="I53" s="271" t="s">
        <v>210</v>
      </c>
      <c r="J53" s="252" t="s">
        <v>210</v>
      </c>
      <c r="K53" s="253" t="s">
        <v>215</v>
      </c>
      <c r="L53" s="152"/>
      <c r="M53" s="152"/>
      <c r="N53" s="152"/>
      <c r="O53" s="153"/>
      <c r="P53" s="154"/>
      <c r="Q53" s="155"/>
      <c r="R53" s="154">
        <v>20</v>
      </c>
      <c r="S53" s="155"/>
      <c r="T53" s="692">
        <v>20</v>
      </c>
      <c r="U53" s="694">
        <v>10</v>
      </c>
      <c r="V53" s="154">
        <f t="shared" si="3"/>
        <v>0</v>
      </c>
      <c r="W53" s="155">
        <f t="shared" si="3"/>
        <v>0</v>
      </c>
    </row>
    <row r="54" spans="1:23" ht="15.75" thickBot="1">
      <c r="A54" s="239"/>
      <c r="B54" s="240"/>
      <c r="C54" s="119"/>
      <c r="D54" s="119"/>
      <c r="E54" s="198" t="s">
        <v>18</v>
      </c>
      <c r="F54" s="185" t="s">
        <v>327</v>
      </c>
      <c r="G54" s="186" t="s">
        <v>232</v>
      </c>
      <c r="H54" s="262"/>
      <c r="I54" s="298"/>
      <c r="J54" s="264"/>
      <c r="K54" s="265" t="s">
        <v>216</v>
      </c>
      <c r="L54" s="190"/>
      <c r="M54" s="190"/>
      <c r="N54" s="190"/>
      <c r="O54" s="191"/>
      <c r="P54" s="192"/>
      <c r="Q54" s="193"/>
      <c r="R54" s="192"/>
      <c r="S54" s="193">
        <v>10</v>
      </c>
      <c r="T54" s="693"/>
      <c r="U54" s="695"/>
      <c r="V54" s="192">
        <f t="shared" si="3"/>
        <v>0</v>
      </c>
      <c r="W54" s="193">
        <f t="shared" si="3"/>
        <v>0</v>
      </c>
    </row>
    <row r="55" spans="1:23" ht="30">
      <c r="A55" s="220" t="s">
        <v>328</v>
      </c>
      <c r="B55" s="221" t="s">
        <v>329</v>
      </c>
      <c r="C55" s="144">
        <v>18</v>
      </c>
      <c r="D55" s="144" t="s">
        <v>330</v>
      </c>
      <c r="E55" s="275" t="s">
        <v>17</v>
      </c>
      <c r="F55" s="276" t="s">
        <v>331</v>
      </c>
      <c r="G55" s="277" t="s">
        <v>332</v>
      </c>
      <c r="H55" s="238"/>
      <c r="I55" s="259"/>
      <c r="J55" s="225"/>
      <c r="K55" s="226" t="s">
        <v>215</v>
      </c>
      <c r="L55" s="170"/>
      <c r="M55" s="170"/>
      <c r="N55" s="170"/>
      <c r="O55" s="171"/>
      <c r="P55" s="172"/>
      <c r="Q55" s="173"/>
      <c r="R55" s="172">
        <v>10</v>
      </c>
      <c r="S55" s="173"/>
      <c r="T55" s="692">
        <v>20</v>
      </c>
      <c r="U55" s="694">
        <v>0</v>
      </c>
      <c r="V55" s="172">
        <f t="shared" si="3"/>
        <v>0</v>
      </c>
      <c r="W55" s="173">
        <f t="shared" si="3"/>
        <v>0</v>
      </c>
    </row>
    <row r="56" spans="1:23" ht="15.75" thickBot="1">
      <c r="A56" s="239"/>
      <c r="B56" s="240"/>
      <c r="C56" s="119"/>
      <c r="D56" s="120"/>
      <c r="E56" s="292" t="s">
        <v>18</v>
      </c>
      <c r="F56" s="293" t="s">
        <v>333</v>
      </c>
      <c r="G56" s="294" t="s">
        <v>334</v>
      </c>
      <c r="H56" s="242"/>
      <c r="I56" s="255" t="s">
        <v>210</v>
      </c>
      <c r="J56" s="244" t="s">
        <v>210</v>
      </c>
      <c r="K56" s="245" t="s">
        <v>215</v>
      </c>
      <c r="L56" s="202"/>
      <c r="M56" s="202"/>
      <c r="N56" s="202"/>
      <c r="O56" s="203"/>
      <c r="P56" s="204"/>
      <c r="Q56" s="205"/>
      <c r="R56" s="204">
        <v>10</v>
      </c>
      <c r="S56" s="205"/>
      <c r="T56" s="696"/>
      <c r="U56" s="697"/>
      <c r="V56" s="161">
        <f t="shared" si="3"/>
        <v>0</v>
      </c>
      <c r="W56" s="162">
        <f t="shared" si="3"/>
        <v>0</v>
      </c>
    </row>
    <row r="57" spans="1:23" ht="15">
      <c r="A57" s="299"/>
      <c r="B57" s="299"/>
      <c r="C57" s="300"/>
      <c r="D57" s="97" t="s">
        <v>547</v>
      </c>
      <c r="Q57" s="301" t="s">
        <v>335</v>
      </c>
      <c r="R57" s="301"/>
      <c r="S57" s="301"/>
      <c r="T57" s="302">
        <f>SUM(T6:T56)</f>
        <v>445</v>
      </c>
      <c r="U57" s="303">
        <f>SUM(U6:U56)</f>
        <v>170</v>
      </c>
      <c r="V57" s="304">
        <f>SUM(V6:V56)</f>
        <v>0</v>
      </c>
      <c r="W57" s="304">
        <f>SUM(W6:W56)</f>
        <v>0</v>
      </c>
    </row>
    <row r="58" spans="17:23" ht="15.75" thickBot="1">
      <c r="Q58" s="301" t="s">
        <v>336</v>
      </c>
      <c r="R58" s="301"/>
      <c r="S58" s="301"/>
      <c r="T58" s="305" t="s">
        <v>215</v>
      </c>
      <c r="U58" s="306" t="s">
        <v>216</v>
      </c>
      <c r="V58" s="307">
        <f>V57/89</f>
        <v>0</v>
      </c>
      <c r="W58" s="307">
        <f>W57/89</f>
        <v>0</v>
      </c>
    </row>
    <row r="59" spans="22:23" ht="15.75" thickBot="1">
      <c r="V59" s="308" t="s">
        <v>337</v>
      </c>
      <c r="W59" s="308" t="s">
        <v>338</v>
      </c>
    </row>
    <row r="68" spans="7:9" ht="15">
      <c r="G68" s="309"/>
      <c r="H68" s="309"/>
      <c r="I68" s="309"/>
    </row>
  </sheetData>
  <mergeCells count="43">
    <mergeCell ref="R2:W2"/>
    <mergeCell ref="T6:T7"/>
    <mergeCell ref="U6:U7"/>
    <mergeCell ref="D8:D9"/>
    <mergeCell ref="T8:T10"/>
    <mergeCell ref="U8:U10"/>
    <mergeCell ref="T20:T21"/>
    <mergeCell ref="U20:U21"/>
    <mergeCell ref="D11:D12"/>
    <mergeCell ref="T11:T12"/>
    <mergeCell ref="U11:U12"/>
    <mergeCell ref="D13:D14"/>
    <mergeCell ref="T13:T15"/>
    <mergeCell ref="U13:U15"/>
    <mergeCell ref="D16:D17"/>
    <mergeCell ref="T16:T17"/>
    <mergeCell ref="U16:U17"/>
    <mergeCell ref="T18:T19"/>
    <mergeCell ref="U18:U19"/>
    <mergeCell ref="T22:T25"/>
    <mergeCell ref="U22:U25"/>
    <mergeCell ref="T26:T27"/>
    <mergeCell ref="U26:U27"/>
    <mergeCell ref="D28:D29"/>
    <mergeCell ref="T28:T30"/>
    <mergeCell ref="U28:U30"/>
    <mergeCell ref="T31:T32"/>
    <mergeCell ref="U31:U32"/>
    <mergeCell ref="T33:T35"/>
    <mergeCell ref="U33:U35"/>
    <mergeCell ref="T36:T40"/>
    <mergeCell ref="U36:U40"/>
    <mergeCell ref="D46:D47"/>
    <mergeCell ref="T46:T48"/>
    <mergeCell ref="U46:U48"/>
    <mergeCell ref="T49:T52"/>
    <mergeCell ref="U49:U52"/>
    <mergeCell ref="T53:T54"/>
    <mergeCell ref="U53:U54"/>
    <mergeCell ref="T55:T56"/>
    <mergeCell ref="U55:U56"/>
    <mergeCell ref="T41:T45"/>
    <mergeCell ref="U41:U45"/>
  </mergeCells>
  <printOptions/>
  <pageMargins left="0.11811023622047245" right="0.11811023622047245" top="0.7480314960629921" bottom="0.7480314960629921" header="0.31496062992125984" footer="0.31496062992125984"/>
  <pageSetup fitToHeight="1" fitToWidth="1" horizontalDpi="600" verticalDpi="600" orientation="portrait" paperSize="8" scale="56" r:id="rId1"/>
  <headerFooter>
    <oddHeader>&amp;LVGO scan&amp;Rversie 3.0</oddHeader>
    <oddFooter>&amp;R15 december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98"/>
  <sheetViews>
    <sheetView showGridLines="0" zoomScale="70" zoomScaleNormal="70" zoomScaleSheetLayoutView="40" workbookViewId="0" topLeftCell="A172">
      <selection activeCell="Q18" sqref="Q18"/>
    </sheetView>
  </sheetViews>
  <sheetFormatPr defaultColWidth="9.140625" defaultRowHeight="15"/>
  <cols>
    <col min="1" max="1" width="79.7109375" style="444" bestFit="1" customWidth="1"/>
    <col min="2" max="2" width="20.8515625" style="444" customWidth="1"/>
    <col min="3" max="3" width="15.140625" style="444" bestFit="1" customWidth="1"/>
    <col min="4" max="4" width="11.28125" style="444" bestFit="1" customWidth="1"/>
    <col min="5" max="5" width="13.421875" style="444" customWidth="1"/>
    <col min="6" max="6" width="13.7109375" style="444" bestFit="1" customWidth="1"/>
    <col min="7" max="7" width="9.140625" style="444" customWidth="1"/>
    <col min="8" max="8" width="41.8515625" style="444" bestFit="1" customWidth="1"/>
    <col min="9" max="9" width="7.28125" style="444" bestFit="1" customWidth="1"/>
    <col min="10" max="30" width="9.140625" style="444" customWidth="1"/>
    <col min="31" max="16384" width="9.140625" style="444" customWidth="1"/>
  </cols>
  <sheetData>
    <row r="1" ht="39">
      <c r="B1" s="591" t="s">
        <v>587</v>
      </c>
    </row>
    <row r="2" ht="17.45" customHeight="1"/>
    <row r="3" spans="3:5" ht="32.25">
      <c r="C3" s="592" t="s">
        <v>3</v>
      </c>
      <c r="D3" s="571"/>
      <c r="E3" s="592">
        <f>'Algemene gegevens'!B11</f>
        <v>0</v>
      </c>
    </row>
    <row r="4" spans="3:6" ht="32.25">
      <c r="C4" s="592" t="s">
        <v>586</v>
      </c>
      <c r="D4" s="571"/>
      <c r="E4" s="713">
        <f>'Algemene gegevens'!B9</f>
        <v>0</v>
      </c>
      <c r="F4" s="714"/>
    </row>
    <row r="5" ht="17.45" customHeight="1"/>
    <row r="6" ht="17.45" customHeight="1"/>
    <row r="7" ht="17.45" customHeight="1"/>
    <row r="8" ht="17.45" customHeight="1"/>
    <row r="9" ht="17.45" customHeight="1"/>
    <row r="10" ht="17.45" customHeight="1"/>
    <row r="11" spans="1:9" ht="30" customHeight="1">
      <c r="A11" s="588" t="s">
        <v>204</v>
      </c>
      <c r="B11" s="639" t="s">
        <v>615</v>
      </c>
      <c r="C11" s="639" t="s">
        <v>614</v>
      </c>
      <c r="H11" s="588" t="s">
        <v>515</v>
      </c>
      <c r="I11" s="588" t="str">
        <f>IF(AND(profiel_gekozen&lt;&gt;lbl_uitvoerder,B12-C12=0,B13-C13=0,B14-C14=0,B19-C19&lt;=0,E23-B23&lt;=0,E24-B24&lt;=0,I18&gt;=I19,I19&gt;0),"ja","nee")</f>
        <v>nee</v>
      </c>
    </row>
    <row r="12" spans="1:3" ht="30" customHeight="1">
      <c r="A12" s="589" t="s">
        <v>512</v>
      </c>
      <c r="B12" s="640">
        <f>Vragen!AR57</f>
        <v>10</v>
      </c>
      <c r="C12" s="640">
        <f>IF(B12=0,"nvt",Vragen!AR58)</f>
        <v>0</v>
      </c>
    </row>
    <row r="13" spans="1:10" ht="30" customHeight="1">
      <c r="A13" s="589" t="s">
        <v>556</v>
      </c>
      <c r="B13" s="640">
        <f>Vragen!AS57</f>
        <v>24</v>
      </c>
      <c r="C13" s="640">
        <f>IF(B13=0,"nvt",Vragen!AS58)</f>
        <v>0</v>
      </c>
      <c r="H13" s="588" t="s">
        <v>564</v>
      </c>
      <c r="I13" s="588"/>
      <c r="J13" s="445"/>
    </row>
    <row r="14" spans="1:9" ht="30" customHeight="1">
      <c r="A14" s="589" t="s">
        <v>555</v>
      </c>
      <c r="B14" s="640">
        <f>Vragen!AT57</f>
        <v>4</v>
      </c>
      <c r="C14" s="640">
        <f>IF(B14=0,"nvt",Vragen!AT58)</f>
        <v>0</v>
      </c>
      <c r="H14" s="589" t="str">
        <f>Disciplinematrix!$A$5</f>
        <v>GEVEL</v>
      </c>
      <c r="I14" s="589" t="str">
        <f>IF(Disciplinematrix!$AD$5,lbl_discipline_behaald,lbl_discipline_niet_behaald)</f>
        <v>nee</v>
      </c>
    </row>
    <row r="15" spans="1:9" ht="30" customHeight="1">
      <c r="A15" s="589" t="s">
        <v>640</v>
      </c>
      <c r="B15" s="640">
        <f>Vragen!AV57</f>
        <v>13</v>
      </c>
      <c r="C15" s="640">
        <f>IF(B15=0,"nvt",Vragen!AV58)</f>
        <v>0</v>
      </c>
      <c r="H15" s="589" t="str">
        <f>Disciplinematrix!$A$10</f>
        <v>DAKEN</v>
      </c>
      <c r="I15" s="589" t="str">
        <f>IF(Disciplinematrix!$AD$10,lbl_discipline_behaald,lbl_discipline_niet_behaald)</f>
        <v>nee</v>
      </c>
    </row>
    <row r="16" spans="1:9" ht="30" customHeight="1">
      <c r="A16" s="588" t="s">
        <v>529</v>
      </c>
      <c r="B16" s="639">
        <f>SUM(B12:B15)</f>
        <v>51</v>
      </c>
      <c r="C16" s="639">
        <f>SUM(C12:C15)</f>
        <v>0</v>
      </c>
      <c r="H16" s="589" t="str">
        <f>Disciplinematrix!$A$16</f>
        <v>INSTALLATIES</v>
      </c>
      <c r="I16" s="589" t="str">
        <f>IF(Disciplinematrix!$AD$16,lbl_discipline_behaald,lbl_discipline_niet_behaald)</f>
        <v>nee</v>
      </c>
    </row>
    <row r="17" spans="2:9" ht="30" customHeight="1">
      <c r="B17" s="641"/>
      <c r="C17" s="641"/>
      <c r="H17" s="590" t="str">
        <f>Disciplinematrix!$A$21</f>
        <v>INTERIEUR</v>
      </c>
      <c r="I17" s="590" t="str">
        <f>IF(Disciplinematrix!$AD$21,lbl_discipline_behaald,lbl_discipline_niet_behaald)</f>
        <v>nee</v>
      </c>
    </row>
    <row r="18" spans="1:9" ht="30" customHeight="1">
      <c r="A18" s="588" t="s">
        <v>557</v>
      </c>
      <c r="B18" s="639" t="s">
        <v>613</v>
      </c>
      <c r="C18" s="639" t="s">
        <v>614</v>
      </c>
      <c r="H18" s="631" t="s">
        <v>603</v>
      </c>
      <c r="I18" s="631">
        <f>COUNTIF(I14:I17,lbl_discipline_behaald)</f>
        <v>0</v>
      </c>
    </row>
    <row r="19" spans="1:9" ht="30" customHeight="1">
      <c r="A19" s="590" t="s">
        <v>513</v>
      </c>
      <c r="B19" s="642">
        <f>Vragen!K62</f>
        <v>0.6</v>
      </c>
      <c r="C19" s="642">
        <f>Vragen!L62</f>
        <v>0</v>
      </c>
      <c r="H19" s="631" t="s">
        <v>566</v>
      </c>
      <c r="I19" s="631">
        <f>IF(ISNA(DataNew!$K$20),0,DataNew!$K$20)</f>
        <v>1</v>
      </c>
    </row>
    <row r="20" spans="1:2" ht="30" customHeight="1">
      <c r="A20" s="625"/>
      <c r="B20" s="643"/>
    </row>
    <row r="21" ht="30" customHeight="1"/>
    <row r="22" spans="1:7" ht="30" customHeight="1">
      <c r="A22" s="625"/>
      <c r="B22" s="625"/>
      <c r="C22" s="625"/>
      <c r="D22" s="625"/>
      <c r="E22" s="625"/>
      <c r="F22" s="625"/>
      <c r="G22" s="446"/>
    </row>
    <row r="23" spans="1:8" ht="30" customHeight="1">
      <c r="A23" s="625"/>
      <c r="B23" s="626"/>
      <c r="C23" s="625"/>
      <c r="D23" s="627"/>
      <c r="E23" s="625"/>
      <c r="F23" s="627"/>
      <c r="G23" s="572"/>
      <c r="H23" s="445"/>
    </row>
    <row r="24" spans="1:8" ht="30" customHeight="1">
      <c r="A24" s="625"/>
      <c r="B24" s="626"/>
      <c r="C24" s="625"/>
      <c r="D24" s="627"/>
      <c r="E24" s="625"/>
      <c r="F24" s="627"/>
      <c r="G24" s="572"/>
      <c r="H24" s="445"/>
    </row>
    <row r="25" ht="17.45" customHeight="1"/>
    <row r="26" ht="17.45" customHeight="1"/>
    <row r="27" ht="17.45" customHeight="1"/>
    <row r="28" ht="17.45" customHeight="1"/>
    <row r="29" ht="17.45" customHeight="1"/>
    <row r="30" ht="17.45" customHeight="1"/>
    <row r="31" ht="17.45" customHeight="1"/>
    <row r="32" ht="17.45" customHeight="1"/>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row r="85" ht="39">
      <c r="B85" s="591"/>
    </row>
    <row r="87" spans="3:5" ht="32.25">
      <c r="C87" s="592"/>
      <c r="D87" s="571"/>
      <c r="E87" s="592"/>
    </row>
    <row r="92" ht="39">
      <c r="B92" s="591" t="s">
        <v>587</v>
      </c>
    </row>
    <row r="93" ht="15"/>
    <row r="94" spans="3:5" ht="32.25">
      <c r="C94" s="592" t="s">
        <v>3</v>
      </c>
      <c r="D94" s="571"/>
      <c r="E94" s="592">
        <f>'Algemene gegevens'!B11</f>
        <v>0</v>
      </c>
    </row>
    <row r="95" spans="3:6" ht="32.25">
      <c r="C95" s="592" t="s">
        <v>586</v>
      </c>
      <c r="D95" s="571"/>
      <c r="E95" s="713">
        <f>'Algemene gegevens'!B9</f>
        <v>0</v>
      </c>
      <c r="F95" s="714"/>
    </row>
    <row r="96" ht="15"/>
    <row r="97" ht="15"/>
    <row r="98" ht="15"/>
    <row r="99" ht="15"/>
    <row r="102" ht="15"/>
    <row r="128" ht="15"/>
    <row r="131" ht="15"/>
    <row r="146" ht="15.75">
      <c r="I146" s="10"/>
    </row>
    <row r="147" ht="15.75">
      <c r="I147" s="10"/>
    </row>
    <row r="148" ht="15.75">
      <c r="I148" s="10"/>
    </row>
    <row r="149" ht="15.75">
      <c r="I149" s="10"/>
    </row>
    <row r="150" ht="15.75">
      <c r="I150" s="10"/>
    </row>
    <row r="151" ht="15.75">
      <c r="I151" s="10"/>
    </row>
    <row r="192" spans="1:8" ht="27">
      <c r="A192" s="593" t="s">
        <v>104</v>
      </c>
      <c r="B192" s="715">
        <f>'Algemene gegevens'!B9</f>
        <v>0</v>
      </c>
      <c r="C192" s="715"/>
      <c r="D192" s="593"/>
      <c r="E192" s="593"/>
      <c r="F192" s="593"/>
      <c r="G192" s="593"/>
      <c r="H192" s="593"/>
    </row>
    <row r="193" spans="1:8" ht="28.5">
      <c r="A193" s="593" t="s">
        <v>105</v>
      </c>
      <c r="B193" s="593"/>
      <c r="C193" s="594"/>
      <c r="D193" s="594"/>
      <c r="E193" s="593" t="s">
        <v>106</v>
      </c>
      <c r="F193" s="593"/>
      <c r="G193" s="593"/>
      <c r="H193" s="593"/>
    </row>
    <row r="194" spans="1:8" ht="28.5">
      <c r="A194" s="593"/>
      <c r="B194" s="593"/>
      <c r="C194" s="594"/>
      <c r="D194" s="594"/>
      <c r="E194" s="593"/>
      <c r="F194" s="593"/>
      <c r="G194" s="593"/>
      <c r="H194" s="593"/>
    </row>
    <row r="195" spans="1:8" ht="28.5">
      <c r="A195" s="595"/>
      <c r="B195" s="595"/>
      <c r="C195" s="594"/>
      <c r="D195" s="594"/>
      <c r="E195" s="593"/>
      <c r="F195" s="593"/>
      <c r="G195" s="593"/>
      <c r="H195" s="593"/>
    </row>
    <row r="196" spans="1:8" ht="28.5">
      <c r="A196" s="594"/>
      <c r="B196" s="594"/>
      <c r="C196" s="594"/>
      <c r="D196" s="594"/>
      <c r="E196" s="594"/>
      <c r="F196" s="593"/>
      <c r="G196" s="593"/>
      <c r="H196" s="593"/>
    </row>
    <row r="197" spans="1:8" ht="28.5">
      <c r="A197" s="593">
        <f>'Algemene gegevens'!B22</f>
        <v>0</v>
      </c>
      <c r="B197" s="593"/>
      <c r="C197" s="594"/>
      <c r="D197" s="594"/>
      <c r="E197" s="596">
        <f>'Algemene gegevens'!C23</f>
        <v>0</v>
      </c>
      <c r="F197" s="593"/>
      <c r="G197" s="593"/>
      <c r="H197" s="593"/>
    </row>
    <row r="198" spans="1:8" ht="28.5">
      <c r="A198" s="593" t="s">
        <v>113</v>
      </c>
      <c r="B198" s="593"/>
      <c r="C198" s="594"/>
      <c r="D198" s="594"/>
      <c r="E198" s="596">
        <f>'Algemene gegevens'!B11</f>
        <v>0</v>
      </c>
      <c r="F198" s="594"/>
      <c r="G198" s="594"/>
      <c r="H198" s="594"/>
    </row>
  </sheetData>
  <sheetProtection selectLockedCells="1"/>
  <mergeCells count="3">
    <mergeCell ref="E4:F4"/>
    <mergeCell ref="E95:F95"/>
    <mergeCell ref="B192:C192"/>
  </mergeCells>
  <conditionalFormatting sqref="C12">
    <cfRule type="expression" priority="1" dxfId="5" stopIfTrue="1">
      <formula>C12&lt;B12</formula>
    </cfRule>
    <cfRule type="expression" priority="2" dxfId="4" stopIfTrue="1">
      <formula>C12&gt;=B12</formula>
    </cfRule>
  </conditionalFormatting>
  <conditionalFormatting sqref="C13">
    <cfRule type="expression" priority="5" dxfId="5" stopIfTrue="1">
      <formula>C13&lt;B13</formula>
    </cfRule>
    <cfRule type="expression" priority="6" dxfId="4" stopIfTrue="1">
      <formula>C13&gt;=B13</formula>
    </cfRule>
  </conditionalFormatting>
  <conditionalFormatting sqref="C14">
    <cfRule type="expression" priority="7" dxfId="5" stopIfTrue="1">
      <formula>C14&lt;B14</formula>
    </cfRule>
    <cfRule type="expression" priority="8" dxfId="4" stopIfTrue="1">
      <formula>C14&gt;=B14</formula>
    </cfRule>
  </conditionalFormatting>
  <conditionalFormatting sqref="C19">
    <cfRule type="expression" priority="9" dxfId="5" stopIfTrue="1">
      <formula>C19&lt;B19</formula>
    </cfRule>
    <cfRule type="expression" priority="10" dxfId="4" stopIfTrue="1">
      <formula>C19&gt;=B19</formula>
    </cfRule>
  </conditionalFormatting>
  <conditionalFormatting sqref="I11">
    <cfRule type="cellIs" priority="11" dxfId="5" operator="equal" stopIfTrue="1">
      <formula>"nee"</formula>
    </cfRule>
    <cfRule type="cellIs" priority="12" dxfId="4" operator="equal" stopIfTrue="1">
      <formula>"ja"</formula>
    </cfRule>
  </conditionalFormatting>
  <printOptions/>
  <pageMargins left="0.7" right="0.7" top="0.75" bottom="0.75" header="0.3" footer="0.3"/>
  <pageSetup fitToHeight="0" fitToWidth="1" horizontalDpi="600" verticalDpi="600" orientation="portrait" paperSize="9" scale="41" r:id="rId2"/>
  <rowBreaks count="1" manualBreakCount="1">
    <brk id="91"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0"/>
  <sheetViews>
    <sheetView showGridLines="0" workbookViewId="0" topLeftCell="F1">
      <selection activeCell="F7" sqref="F7"/>
    </sheetView>
  </sheetViews>
  <sheetFormatPr defaultColWidth="9.140625" defaultRowHeight="15"/>
  <cols>
    <col min="1" max="1" width="18.00390625" style="0" bestFit="1" customWidth="1"/>
    <col min="18" max="19" width="9.140625" style="6" customWidth="1"/>
  </cols>
  <sheetData>
    <row r="1" spans="1:23" ht="15">
      <c r="A1" s="22"/>
      <c r="B1" s="22"/>
      <c r="C1" s="22"/>
      <c r="D1" s="22"/>
      <c r="E1" s="22"/>
      <c r="F1" s="22"/>
      <c r="G1" s="22"/>
      <c r="H1" s="22"/>
      <c r="I1" s="22"/>
      <c r="J1" s="22"/>
      <c r="K1" s="22"/>
      <c r="L1" s="22"/>
      <c r="M1" s="22"/>
      <c r="N1" s="22" t="s">
        <v>524</v>
      </c>
      <c r="O1" s="22"/>
      <c r="P1" s="22"/>
      <c r="Q1" s="22" t="s">
        <v>542</v>
      </c>
      <c r="R1" s="22" t="s">
        <v>543</v>
      </c>
      <c r="S1" s="22" t="s">
        <v>541</v>
      </c>
      <c r="T1" s="22"/>
      <c r="U1" s="22"/>
      <c r="V1" s="22"/>
      <c r="W1" s="22"/>
    </row>
    <row r="2" spans="1:23" ht="15">
      <c r="A2" s="22" t="s">
        <v>340</v>
      </c>
      <c r="B2" s="22">
        <v>1</v>
      </c>
      <c r="C2" s="22">
        <v>2</v>
      </c>
      <c r="D2" s="22">
        <v>3</v>
      </c>
      <c r="E2" s="22">
        <v>4</v>
      </c>
      <c r="F2" s="22" t="s">
        <v>524</v>
      </c>
      <c r="G2" s="22" t="s">
        <v>525</v>
      </c>
      <c r="H2" s="22" t="str">
        <f>F2</f>
        <v>totaal</v>
      </c>
      <c r="I2" s="22" t="s">
        <v>538</v>
      </c>
      <c r="J2" s="22">
        <v>1</v>
      </c>
      <c r="K2" s="22">
        <v>2</v>
      </c>
      <c r="L2" s="22">
        <v>3</v>
      </c>
      <c r="M2" s="22">
        <v>4</v>
      </c>
      <c r="N2" s="22" t="s">
        <v>628</v>
      </c>
      <c r="O2" s="22" t="s">
        <v>526</v>
      </c>
      <c r="P2" s="22" t="s">
        <v>524</v>
      </c>
      <c r="Q2" s="22" t="s">
        <v>352</v>
      </c>
      <c r="R2" s="22" t="s">
        <v>591</v>
      </c>
      <c r="S2" s="22" t="str">
        <f>R2</f>
        <v>VGO eis</v>
      </c>
      <c r="T2" s="22"/>
      <c r="U2" s="22"/>
      <c r="V2" s="22"/>
      <c r="W2" s="22"/>
    </row>
    <row r="3" spans="1:23" ht="15">
      <c r="A3" s="22" t="s">
        <v>678</v>
      </c>
      <c r="B3" s="22">
        <f>SUMIFS(vgo_a_1,vgo_show,TRUE,vgo_o,TRUE,vgo_must_tijdelijk,FALSE,vgo_ontwikkel,FALSE)</f>
        <v>0</v>
      </c>
      <c r="C3" s="22">
        <f>SUMIFS(vgo_a_2,vgo_show,TRUE,vgo_o,TRUE,vgo_must_tijdelijk,FALSE,vgo_ontwikkel,FALSE)</f>
        <v>0</v>
      </c>
      <c r="D3" s="22">
        <f>SUMIFS(vgo_a_3,vgo_show,TRUE,vgo_o,TRUE,vgo_must_tijdelijk,FALSE,vgo_ontwikkel,FALSE)</f>
        <v>0</v>
      </c>
      <c r="E3" s="22">
        <f>SUMIFS(vgo_a_4,vgo_show,TRUE,vgo_o,TRUE,vgo_must_tijdelijk,FALSE,vgo_ontwikkel,FALSE)</f>
        <v>0</v>
      </c>
      <c r="F3" s="22">
        <f>SUM(B3:E3)</f>
        <v>0</v>
      </c>
      <c r="G3" s="22">
        <f>SUM(D3:E3)</f>
        <v>0</v>
      </c>
      <c r="H3" s="22">
        <f>F3-G3</f>
        <v>0</v>
      </c>
      <c r="I3" s="22">
        <f>ROUNDUP(F3*VLOOKUP(profiel_gekozen,min_score,2,FALSE),0)</f>
        <v>0</v>
      </c>
      <c r="J3" s="22">
        <f aca="true" t="shared" si="0" ref="J3:M4">B3*VLOOKUP(J$2,score_percentage,2,FALSE)</f>
        <v>0</v>
      </c>
      <c r="K3" s="22">
        <f t="shared" si="0"/>
        <v>0</v>
      </c>
      <c r="L3" s="22">
        <f t="shared" si="0"/>
        <v>0</v>
      </c>
      <c r="M3" s="22">
        <f t="shared" si="0"/>
        <v>0</v>
      </c>
      <c r="N3" s="23">
        <f>ROUNDDOWN(100*SUMPRODUCT($B$2:$E$2,B3:E3)/IF(O3=0,1,O3),0)/100</f>
        <v>0</v>
      </c>
      <c r="O3" s="22">
        <f>F3*$E$2</f>
        <v>0</v>
      </c>
      <c r="P3" s="22">
        <v>1</v>
      </c>
      <c r="Q3" s="23">
        <f>P3-N3</f>
        <v>1</v>
      </c>
      <c r="R3" s="22">
        <v>0.05</v>
      </c>
      <c r="S3" s="23">
        <f>VLOOKUP(profiel_gekozen,min_score,5,FALSE)</f>
        <v>0.6</v>
      </c>
      <c r="T3" s="22"/>
      <c r="U3" s="22"/>
      <c r="V3" s="22"/>
      <c r="W3" s="22"/>
    </row>
    <row r="4" spans="1:23" ht="15">
      <c r="A4" s="22" t="s">
        <v>677</v>
      </c>
      <c r="B4" s="22">
        <f>SUMIFS(vgo_a_1,vgo_show,TRUE,vgo_k,TRUE,vgo_must_tijdelijk,FALSE,vgo_ontwikkel,FALSE)</f>
        <v>0</v>
      </c>
      <c r="C4" s="22">
        <f>SUMIFS(vgo_a_2,vgo_show,TRUE,vgo_k,TRUE,vgo_must_tijdelijk,FALSE,vgo_ontwikkel,FALSE)</f>
        <v>0</v>
      </c>
      <c r="D4" s="22">
        <f>SUMIFS(vgo_a_3,vgo_show,TRUE,vgo_k,TRUE,vgo_must_tijdelijk,FALSE,vgo_ontwikkel,FALSE)</f>
        <v>0</v>
      </c>
      <c r="E4" s="22">
        <f>SUMIFS(vgo_a_4,vgo_show,TRUE,vgo_k,TRUE,vgo_must_tijdelijk,FALSE,vgo_ontwikkel,FALSE)</f>
        <v>0</v>
      </c>
      <c r="F4" s="22">
        <f>SUM(B4:E4)</f>
        <v>0</v>
      </c>
      <c r="G4" s="22">
        <f>SUM(D4:E4)</f>
        <v>0</v>
      </c>
      <c r="H4" s="22">
        <f>F4-G4</f>
        <v>0</v>
      </c>
      <c r="I4" s="22">
        <f>ROUNDUP(F4*VLOOKUP(profiel_gekozen,min_score,3,FALSE),0)</f>
        <v>0</v>
      </c>
      <c r="J4" s="22">
        <f t="shared" si="0"/>
        <v>0</v>
      </c>
      <c r="K4" s="22">
        <f t="shared" si="0"/>
        <v>0</v>
      </c>
      <c r="L4" s="22">
        <f t="shared" si="0"/>
        <v>0</v>
      </c>
      <c r="M4" s="22">
        <f t="shared" si="0"/>
        <v>0</v>
      </c>
      <c r="N4" s="23">
        <f>ROUNDDOWN(100*SUMPRODUCT($B$2:$E$2,B4:E4)/IF(O4=0,1,O4),0)/100</f>
        <v>0</v>
      </c>
      <c r="O4" s="22">
        <f>F4*$E$2</f>
        <v>0</v>
      </c>
      <c r="P4" s="22">
        <v>1</v>
      </c>
      <c r="Q4" s="23">
        <f>P4-N4</f>
        <v>1</v>
      </c>
      <c r="R4" s="22">
        <v>0.05</v>
      </c>
      <c r="S4" s="23">
        <f>VLOOKUP(profiel_gekozen,min_score,6,FALSE)</f>
        <v>0.6</v>
      </c>
      <c r="T4" s="22"/>
      <c r="U4" s="22"/>
      <c r="V4" s="22"/>
      <c r="W4" s="22"/>
    </row>
    <row r="5" spans="1:23" ht="15">
      <c r="A5" s="22" t="s">
        <v>524</v>
      </c>
      <c r="B5" s="22">
        <f aca="true" t="shared" si="1" ref="B5:E5">SUM(B3:B4)</f>
        <v>0</v>
      </c>
      <c r="C5" s="22">
        <f t="shared" si="1"/>
        <v>0</v>
      </c>
      <c r="D5" s="22">
        <f t="shared" si="1"/>
        <v>0</v>
      </c>
      <c r="E5" s="22">
        <f t="shared" si="1"/>
        <v>0</v>
      </c>
      <c r="F5" s="22">
        <f>SUM(F3:F4)</f>
        <v>0</v>
      </c>
      <c r="G5" s="22"/>
      <c r="H5" s="22"/>
      <c r="I5" s="22"/>
      <c r="J5" s="22"/>
      <c r="K5" s="22"/>
      <c r="L5" s="22"/>
      <c r="M5" s="22"/>
      <c r="N5" s="22"/>
      <c r="O5" s="22">
        <f>SUM(O3:O4)</f>
        <v>0</v>
      </c>
      <c r="P5" s="22">
        <f>SUM(P3:P4)</f>
        <v>2</v>
      </c>
      <c r="Q5" s="22"/>
      <c r="R5" s="22"/>
      <c r="S5" s="22"/>
      <c r="T5" s="22"/>
      <c r="U5" s="22"/>
      <c r="V5" s="22"/>
      <c r="W5" s="22"/>
    </row>
    <row r="6" spans="1:23" ht="15">
      <c r="A6" s="22"/>
      <c r="B6" s="22"/>
      <c r="C6" s="22"/>
      <c r="D6" s="22"/>
      <c r="E6" s="22"/>
      <c r="F6" s="22"/>
      <c r="G6" s="22"/>
      <c r="H6" s="22"/>
      <c r="I6" s="22"/>
      <c r="J6" s="22"/>
      <c r="K6" s="22"/>
      <c r="L6" s="22"/>
      <c r="M6" s="22"/>
      <c r="N6" s="22"/>
      <c r="O6" s="22"/>
      <c r="P6" s="22"/>
      <c r="Q6" s="22"/>
      <c r="R6" s="22"/>
      <c r="S6" s="22"/>
      <c r="T6" s="22"/>
      <c r="U6" s="22"/>
      <c r="V6" s="22"/>
      <c r="W6" s="22"/>
    </row>
    <row r="7" ht="15">
      <c r="I7">
        <v>4</v>
      </c>
    </row>
    <row r="8" spans="1:23" ht="15">
      <c r="A8" s="312" t="s">
        <v>679</v>
      </c>
      <c r="B8" s="312" t="s">
        <v>215</v>
      </c>
      <c r="C8" t="s">
        <v>216</v>
      </c>
      <c r="D8" t="s">
        <v>211</v>
      </c>
      <c r="G8" t="s">
        <v>641</v>
      </c>
      <c r="I8" s="312" t="s">
        <v>645</v>
      </c>
      <c r="J8" t="s">
        <v>353</v>
      </c>
      <c r="K8" t="s">
        <v>352</v>
      </c>
      <c r="L8" t="s">
        <v>685</v>
      </c>
      <c r="M8" t="s">
        <v>686</v>
      </c>
      <c r="N8">
        <v>1</v>
      </c>
      <c r="O8">
        <v>2</v>
      </c>
      <c r="P8">
        <v>3</v>
      </c>
      <c r="Q8">
        <v>4</v>
      </c>
      <c r="S8" s="22" t="s">
        <v>340</v>
      </c>
      <c r="T8" s="22">
        <v>1</v>
      </c>
      <c r="U8" s="22">
        <v>2</v>
      </c>
      <c r="V8" s="22">
        <v>3</v>
      </c>
      <c r="W8" s="22">
        <v>4</v>
      </c>
    </row>
    <row r="9" spans="1:23" ht="15">
      <c r="A9" s="312" t="s">
        <v>108</v>
      </c>
      <c r="B9" s="312">
        <f>ROUND(AVERAGEIFS(vgo_a,vgo_show,TRUE,vgo_o,TRUE,vgo_must_tijdelijk,FALSE,vgo_ontwikkel,FALSE),2)</f>
        <v>0</v>
      </c>
      <c r="C9">
        <v>0</v>
      </c>
      <c r="D9">
        <v>0</v>
      </c>
      <c r="G9" t="str">
        <f>Vragen!B5</f>
        <v>INK organisatiegebieden</v>
      </c>
      <c r="H9">
        <v>1</v>
      </c>
      <c r="I9">
        <f aca="true" t="shared" si="2" ref="I9:I16">ROUND(AVERAGEIFS(vgo_a,vgo_show,TRUE,vgo_onderdeel,$G9),2)</f>
        <v>0</v>
      </c>
      <c r="J9" s="6">
        <f aca="true" t="shared" si="3" ref="J9:J16">ROUND(_XLFN.MINIFS(vgo_a,vgo_show,TRUE,vgo_onderdeel,$G9),2)</f>
        <v>0</v>
      </c>
      <c r="K9" s="6">
        <f aca="true" t="shared" si="4" ref="K9:K16">ROUND(_XLFN.MAXIFS(vgo_a,vgo_show,TRUE,vgo_onderdeel,$G9),2)</f>
        <v>0</v>
      </c>
      <c r="L9">
        <v>3</v>
      </c>
      <c r="M9">
        <v>4</v>
      </c>
      <c r="N9">
        <f>N8</f>
        <v>1</v>
      </c>
      <c r="O9" s="6">
        <f aca="true" t="shared" si="5" ref="O9:O16">O8</f>
        <v>2</v>
      </c>
      <c r="P9" s="6">
        <f aca="true" t="shared" si="6" ref="P9:P16">P8</f>
        <v>3</v>
      </c>
      <c r="Q9" s="6">
        <f aca="true" t="shared" si="7" ref="Q9:Q16">Q8</f>
        <v>4</v>
      </c>
      <c r="S9" s="22" t="s">
        <v>680</v>
      </c>
      <c r="T9" s="22">
        <f>SUMIFS(vgo_a_1,vgo_show,TRUE,vgo_o,TRUE,vgo_must_tijdelijk,FALSE,vgo_ontwikkel,TRUE)</f>
        <v>0</v>
      </c>
      <c r="U9" s="22">
        <f>SUMIFS(vgo_a_2,vgo_show,TRUE,vgo_o,TRUE,vgo_must_tijdelijk,FALSE,vgo_ontwikkel,TRUE)</f>
        <v>0</v>
      </c>
      <c r="V9" s="22">
        <f>SUMIFS(vgo_a_3,vgo_show,TRUE,vgo_o,TRUE,vgo_must_tijdelijk,FALSE,vgo_ontwikkel,TRUE)</f>
        <v>0</v>
      </c>
      <c r="W9" s="22">
        <f>SUMIFS(vgo_a_4,vgo_show,TRUE,vgo_o,TRUE,vgo_must_tijdelijk,FALSE,vgo_ontwikkel,TRUE)</f>
        <v>0</v>
      </c>
    </row>
    <row r="10" spans="1:23" ht="15">
      <c r="A10" s="312" t="s">
        <v>588</v>
      </c>
      <c r="B10" s="312">
        <f>ROUND(AVERAGEIFS(vgo_a,vgo_show,TRUE,vgo_o,TRUE,vgo_must,TRUE,vgo_must_tijdelijk,FALSE,vgo_ontwikkel,FALSE),2)</f>
        <v>0</v>
      </c>
      <c r="C10">
        <v>0</v>
      </c>
      <c r="D10">
        <v>0</v>
      </c>
      <c r="G10" t="s">
        <v>247</v>
      </c>
      <c r="H10">
        <f>H9+1</f>
        <v>2</v>
      </c>
      <c r="I10" s="6">
        <f t="shared" si="2"/>
        <v>0</v>
      </c>
      <c r="J10" s="6">
        <f t="shared" si="3"/>
        <v>0</v>
      </c>
      <c r="K10" s="6">
        <f t="shared" si="4"/>
        <v>0</v>
      </c>
      <c r="L10">
        <v>3</v>
      </c>
      <c r="M10">
        <v>4</v>
      </c>
      <c r="N10" s="6">
        <f aca="true" t="shared" si="8" ref="N10:N16">N9</f>
        <v>1</v>
      </c>
      <c r="O10" s="6">
        <f t="shared" si="5"/>
        <v>2</v>
      </c>
      <c r="P10" s="6">
        <f t="shared" si="6"/>
        <v>3</v>
      </c>
      <c r="Q10" s="6">
        <f t="shared" si="7"/>
        <v>4</v>
      </c>
      <c r="S10" s="22" t="s">
        <v>681</v>
      </c>
      <c r="T10" s="22">
        <f>SUMIFS(vgo_a_1,vgo_show,TRUE,vgo_k,TRUE,vgo_must_tijdelijk,FALSE,vgo_ontwikkel,TRUE)</f>
        <v>0</v>
      </c>
      <c r="U10" s="22">
        <f>SUMIFS(vgo_a_2,vgo_show,TRUE,vgo_k,TRUE,vgo_must_tijdelijk,FALSE,vgo_ontwikkel,TRUE)</f>
        <v>0</v>
      </c>
      <c r="V10" s="22">
        <f>SUMIFS(vgo_a_3,vgo_show,TRUE,vgo_k,TRUE,vgo_must_tijdelijk,FALSE,vgo_ontwikkel,TRUE)</f>
        <v>0</v>
      </c>
      <c r="W10" s="22">
        <f>SUMIFS(vgo_a_4,vgo_show,TRUE,vgo_k,TRUE,vgo_must_tijdelijk,FALSE,vgo_ontwikkel,TRUE)</f>
        <v>0</v>
      </c>
    </row>
    <row r="11" spans="1:23" ht="15">
      <c r="A11" s="312" t="s">
        <v>589</v>
      </c>
      <c r="B11">
        <v>0</v>
      </c>
      <c r="C11" s="312">
        <f>ROUND(AVERAGEIFS(vgo_a,vgo_show,TRUE,vgo_k,TRUE,vgo_must_tijdelijk,FALSE,vgo_ontwikkel,FALSE),2)</f>
        <v>0</v>
      </c>
      <c r="D11">
        <v>0</v>
      </c>
      <c r="G11" t="s">
        <v>265</v>
      </c>
      <c r="H11" s="6">
        <f aca="true" t="shared" si="9" ref="H11:H16">H10+1</f>
        <v>3</v>
      </c>
      <c r="I11" s="6">
        <f t="shared" si="2"/>
        <v>0</v>
      </c>
      <c r="J11" s="6">
        <f t="shared" si="3"/>
        <v>0</v>
      </c>
      <c r="K11" s="6">
        <f t="shared" si="4"/>
        <v>0</v>
      </c>
      <c r="L11">
        <v>3</v>
      </c>
      <c r="M11">
        <v>4</v>
      </c>
      <c r="N11" s="6">
        <f t="shared" si="8"/>
        <v>1</v>
      </c>
      <c r="O11" s="6">
        <f t="shared" si="5"/>
        <v>2</v>
      </c>
      <c r="P11" s="6">
        <f t="shared" si="6"/>
        <v>3</v>
      </c>
      <c r="Q11" s="6">
        <f t="shared" si="7"/>
        <v>4</v>
      </c>
      <c r="S11" s="22" t="s">
        <v>524</v>
      </c>
      <c r="T11" s="22">
        <f aca="true" t="shared" si="10" ref="T11:W11">SUM(T9:T10)</f>
        <v>0</v>
      </c>
      <c r="U11" s="22">
        <f t="shared" si="10"/>
        <v>0</v>
      </c>
      <c r="V11" s="22">
        <f t="shared" si="10"/>
        <v>0</v>
      </c>
      <c r="W11" s="22">
        <f t="shared" si="10"/>
        <v>0</v>
      </c>
    </row>
    <row r="12" spans="1:17" ht="15">
      <c r="A12" s="312" t="s">
        <v>590</v>
      </c>
      <c r="B12">
        <v>0</v>
      </c>
      <c r="C12" s="312">
        <f>ROUND(AVERAGEIFS(vgo_a,vgo_show,TRUE,vgo_k,TRUE,vgo_must,TRUE,vgo_must_tijdelijk,FALSE,vgo_ontwikkel,FALSE),2)</f>
        <v>0</v>
      </c>
      <c r="D12">
        <v>0</v>
      </c>
      <c r="G12" t="s">
        <v>286</v>
      </c>
      <c r="H12" s="6">
        <f t="shared" si="9"/>
        <v>4</v>
      </c>
      <c r="I12" s="6">
        <f t="shared" si="2"/>
        <v>0</v>
      </c>
      <c r="J12" s="6">
        <f t="shared" si="3"/>
        <v>0</v>
      </c>
      <c r="K12" s="6">
        <f t="shared" si="4"/>
        <v>0</v>
      </c>
      <c r="L12">
        <v>3</v>
      </c>
      <c r="M12">
        <v>4</v>
      </c>
      <c r="N12" s="6">
        <f t="shared" si="8"/>
        <v>1</v>
      </c>
      <c r="O12" s="6">
        <f t="shared" si="5"/>
        <v>2</v>
      </c>
      <c r="P12" s="6">
        <f t="shared" si="6"/>
        <v>3</v>
      </c>
      <c r="Q12" s="6">
        <f t="shared" si="7"/>
        <v>4</v>
      </c>
    </row>
    <row r="13" spans="1:17" ht="15">
      <c r="A13" s="312" t="s">
        <v>616</v>
      </c>
      <c r="B13">
        <v>0</v>
      </c>
      <c r="C13">
        <v>0</v>
      </c>
      <c r="D13" s="312">
        <f>ROUND(AVERAGEIFS(vgo_a,vgo_show,TRUE,vgo_must_tijdelijk,FALSE,vgo_ontwikkel,FALSE),2)</f>
        <v>0</v>
      </c>
      <c r="G13" t="s">
        <v>298</v>
      </c>
      <c r="H13" s="6">
        <f t="shared" si="9"/>
        <v>5</v>
      </c>
      <c r="I13" s="6">
        <f t="shared" si="2"/>
        <v>0</v>
      </c>
      <c r="J13" s="6">
        <f t="shared" si="3"/>
        <v>0</v>
      </c>
      <c r="K13" s="6">
        <f t="shared" si="4"/>
        <v>0</v>
      </c>
      <c r="L13">
        <v>3</v>
      </c>
      <c r="M13">
        <v>4</v>
      </c>
      <c r="N13" s="6">
        <f t="shared" si="8"/>
        <v>1</v>
      </c>
      <c r="O13" s="6">
        <f t="shared" si="5"/>
        <v>2</v>
      </c>
      <c r="P13" s="6">
        <f t="shared" si="6"/>
        <v>3</v>
      </c>
      <c r="Q13" s="6">
        <f t="shared" si="7"/>
        <v>4</v>
      </c>
    </row>
    <row r="14" spans="7:17" ht="15">
      <c r="G14" t="s">
        <v>315</v>
      </c>
      <c r="H14" s="6">
        <f t="shared" si="9"/>
        <v>6</v>
      </c>
      <c r="I14" s="6">
        <f t="shared" si="2"/>
        <v>0</v>
      </c>
      <c r="J14" s="6">
        <f t="shared" si="3"/>
        <v>0</v>
      </c>
      <c r="K14" s="6">
        <f t="shared" si="4"/>
        <v>0</v>
      </c>
      <c r="L14">
        <v>3</v>
      </c>
      <c r="M14">
        <v>4</v>
      </c>
      <c r="N14" s="6">
        <f t="shared" si="8"/>
        <v>1</v>
      </c>
      <c r="O14" s="6">
        <f t="shared" si="5"/>
        <v>2</v>
      </c>
      <c r="P14" s="6">
        <f t="shared" si="6"/>
        <v>3</v>
      </c>
      <c r="Q14" s="6">
        <f t="shared" si="7"/>
        <v>4</v>
      </c>
    </row>
    <row r="15" spans="7:17" ht="15">
      <c r="G15" t="s">
        <v>323</v>
      </c>
      <c r="H15" s="6">
        <f t="shared" si="9"/>
        <v>7</v>
      </c>
      <c r="I15" s="6">
        <f t="shared" si="2"/>
        <v>0</v>
      </c>
      <c r="J15" s="6">
        <f t="shared" si="3"/>
        <v>0</v>
      </c>
      <c r="K15" s="6">
        <f t="shared" si="4"/>
        <v>0</v>
      </c>
      <c r="L15">
        <v>3</v>
      </c>
      <c r="M15">
        <v>4</v>
      </c>
      <c r="N15" s="6">
        <f t="shared" si="8"/>
        <v>1</v>
      </c>
      <c r="O15" s="6">
        <f t="shared" si="5"/>
        <v>2</v>
      </c>
      <c r="P15" s="6">
        <f t="shared" si="6"/>
        <v>3</v>
      </c>
      <c r="Q15" s="6">
        <f t="shared" si="7"/>
        <v>4</v>
      </c>
    </row>
    <row r="16" spans="7:17" ht="15">
      <c r="G16" t="s">
        <v>328</v>
      </c>
      <c r="H16" s="6">
        <f t="shared" si="9"/>
        <v>8</v>
      </c>
      <c r="I16" s="6">
        <f t="shared" si="2"/>
        <v>0</v>
      </c>
      <c r="J16" s="6">
        <f t="shared" si="3"/>
        <v>0</v>
      </c>
      <c r="K16" s="6">
        <f t="shared" si="4"/>
        <v>0</v>
      </c>
      <c r="L16">
        <v>3</v>
      </c>
      <c r="M16">
        <v>4</v>
      </c>
      <c r="N16" s="6">
        <f t="shared" si="8"/>
        <v>1</v>
      </c>
      <c r="O16" s="6">
        <f t="shared" si="5"/>
        <v>2</v>
      </c>
      <c r="P16" s="6">
        <f t="shared" si="6"/>
        <v>3</v>
      </c>
      <c r="Q16" s="6">
        <f t="shared" si="7"/>
        <v>4</v>
      </c>
    </row>
    <row r="23" spans="2:22" ht="15">
      <c r="B23" s="18">
        <v>0</v>
      </c>
      <c r="C23" s="18">
        <v>0.05</v>
      </c>
      <c r="D23" s="18">
        <f aca="true" t="shared" si="11" ref="D23:V23">C23+$C$23</f>
        <v>0.1</v>
      </c>
      <c r="E23" s="18">
        <f t="shared" si="11"/>
        <v>0.15000000000000002</v>
      </c>
      <c r="F23" s="18">
        <f t="shared" si="11"/>
        <v>0.2</v>
      </c>
      <c r="G23" s="18">
        <f t="shared" si="11"/>
        <v>0.25</v>
      </c>
      <c r="H23" s="18">
        <f t="shared" si="11"/>
        <v>0.3</v>
      </c>
      <c r="I23" s="18">
        <f t="shared" si="11"/>
        <v>0.35</v>
      </c>
      <c r="J23" s="18">
        <f t="shared" si="11"/>
        <v>0.39999999999999997</v>
      </c>
      <c r="K23" s="18">
        <f t="shared" si="11"/>
        <v>0.44999999999999996</v>
      </c>
      <c r="L23" s="18">
        <f t="shared" si="11"/>
        <v>0.49999999999999994</v>
      </c>
      <c r="M23" s="18">
        <f t="shared" si="11"/>
        <v>0.5499999999999999</v>
      </c>
      <c r="N23" s="18">
        <f t="shared" si="11"/>
        <v>0.6</v>
      </c>
      <c r="O23" s="18">
        <f t="shared" si="11"/>
        <v>0.65</v>
      </c>
      <c r="P23" s="18">
        <f t="shared" si="11"/>
        <v>0.7000000000000001</v>
      </c>
      <c r="Q23" s="18">
        <f t="shared" si="11"/>
        <v>0.7500000000000001</v>
      </c>
      <c r="R23" s="18">
        <f t="shared" si="11"/>
        <v>0.8000000000000002</v>
      </c>
      <c r="S23" s="18">
        <f t="shared" si="11"/>
        <v>0.8500000000000002</v>
      </c>
      <c r="T23" s="18">
        <f t="shared" si="11"/>
        <v>0.9000000000000002</v>
      </c>
      <c r="U23" s="18">
        <f t="shared" si="11"/>
        <v>0.9500000000000003</v>
      </c>
      <c r="V23" s="18">
        <f t="shared" si="11"/>
        <v>1.0000000000000002</v>
      </c>
    </row>
    <row r="24" spans="1:22" ht="15">
      <c r="A24" t="s">
        <v>597</v>
      </c>
      <c r="B24" s="18">
        <f aca="true" t="shared" si="12" ref="B24:L24">IF(AND($C$32=MEDIAN($C$32,B$23,C$23),$C$32&lt;&gt;C23,OR(B$23&lt;$E$32,$C$33&lt;$E$33)),MIN($C$33,$A$32),0)</f>
        <v>0</v>
      </c>
      <c r="C24" s="18">
        <f t="shared" si="12"/>
        <v>0</v>
      </c>
      <c r="D24" s="18">
        <f t="shared" si="12"/>
        <v>0</v>
      </c>
      <c r="E24" s="18">
        <f t="shared" si="12"/>
        <v>0</v>
      </c>
      <c r="F24" s="18">
        <f t="shared" si="12"/>
        <v>0</v>
      </c>
      <c r="G24" s="18">
        <f t="shared" si="12"/>
        <v>0</v>
      </c>
      <c r="H24" s="18">
        <f t="shared" si="12"/>
        <v>0</v>
      </c>
      <c r="I24" s="18">
        <f t="shared" si="12"/>
        <v>0</v>
      </c>
      <c r="J24" s="18">
        <f t="shared" si="12"/>
        <v>0</v>
      </c>
      <c r="K24" s="18">
        <f t="shared" si="12"/>
        <v>0</v>
      </c>
      <c r="L24" s="18">
        <f t="shared" si="12"/>
        <v>0</v>
      </c>
      <c r="M24" s="18">
        <f>IF(AND($C$32=MEDIAN($C$32,M$23,N$23),$C$32&lt;&gt;N23,OR(M$23&lt;$E$32,$C$33&lt;$E$33)),MIN($C$33,$A$32),0)</f>
        <v>0</v>
      </c>
      <c r="N24" s="18">
        <f aca="true" t="shared" si="13" ref="N24:V24">IF(AND($C$32=MEDIAN($C$32,N$23,O$23),$C$32&lt;&gt;O23,OR(N$23&lt;$E$32,$C$33&lt;$E$33)),MIN($C$33,$A$32),0)</f>
        <v>0</v>
      </c>
      <c r="O24" s="18">
        <f t="shared" si="13"/>
        <v>0</v>
      </c>
      <c r="P24" s="18">
        <f t="shared" si="13"/>
        <v>0</v>
      </c>
      <c r="Q24" s="18">
        <f t="shared" si="13"/>
        <v>0</v>
      </c>
      <c r="R24" s="18">
        <f t="shared" si="13"/>
        <v>0</v>
      </c>
      <c r="S24" s="18">
        <f t="shared" si="13"/>
        <v>0</v>
      </c>
      <c r="T24" s="18">
        <f t="shared" si="13"/>
        <v>0</v>
      </c>
      <c r="U24" s="18">
        <f t="shared" si="13"/>
        <v>0</v>
      </c>
      <c r="V24" s="18">
        <f t="shared" si="13"/>
        <v>0</v>
      </c>
    </row>
    <row r="25" spans="1:22" ht="15">
      <c r="A25" t="s">
        <v>598</v>
      </c>
      <c r="B25" s="18">
        <f aca="true" t="shared" si="14" ref="B25:V25">IF(B24&gt;0,$A$33,B24)</f>
        <v>0</v>
      </c>
      <c r="C25" s="18">
        <f t="shared" si="14"/>
        <v>0</v>
      </c>
      <c r="D25" s="18">
        <f t="shared" si="14"/>
        <v>0</v>
      </c>
      <c r="E25" s="18">
        <f t="shared" si="14"/>
        <v>0</v>
      </c>
      <c r="F25" s="18">
        <f t="shared" si="14"/>
        <v>0</v>
      </c>
      <c r="G25" s="18">
        <f t="shared" si="14"/>
        <v>0</v>
      </c>
      <c r="H25" s="18">
        <f t="shared" si="14"/>
        <v>0</v>
      </c>
      <c r="I25" s="18">
        <f t="shared" si="14"/>
        <v>0</v>
      </c>
      <c r="J25" s="18">
        <f t="shared" si="14"/>
        <v>0</v>
      </c>
      <c r="K25" s="18">
        <f t="shared" si="14"/>
        <v>0</v>
      </c>
      <c r="L25" s="18">
        <f t="shared" si="14"/>
        <v>0</v>
      </c>
      <c r="M25" s="18">
        <f t="shared" si="14"/>
        <v>0</v>
      </c>
      <c r="N25" s="18">
        <f t="shared" si="14"/>
        <v>0</v>
      </c>
      <c r="O25" s="18">
        <f t="shared" si="14"/>
        <v>0</v>
      </c>
      <c r="P25" s="18">
        <f t="shared" si="14"/>
        <v>0</v>
      </c>
      <c r="Q25" s="18">
        <f t="shared" si="14"/>
        <v>0</v>
      </c>
      <c r="R25" s="18">
        <f t="shared" si="14"/>
        <v>0</v>
      </c>
      <c r="S25" s="18">
        <f t="shared" si="14"/>
        <v>0</v>
      </c>
      <c r="T25" s="18">
        <f t="shared" si="14"/>
        <v>0</v>
      </c>
      <c r="U25" s="18">
        <f t="shared" si="14"/>
        <v>0</v>
      </c>
      <c r="V25" s="18">
        <f t="shared" si="14"/>
        <v>0</v>
      </c>
    </row>
    <row r="26" spans="1:22" ht="15">
      <c r="A26" t="s">
        <v>592</v>
      </c>
      <c r="B26" s="18">
        <f>IF(B23&gt;=$E$32,$E$33,0)</f>
        <v>0</v>
      </c>
      <c r="C26" s="18">
        <f aca="true" t="shared" si="15" ref="C26:V26">IF(C23&gt;=$E$32,$E$33,0)</f>
        <v>0</v>
      </c>
      <c r="D26" s="18">
        <f t="shared" si="15"/>
        <v>0</v>
      </c>
      <c r="E26" s="18">
        <f t="shared" si="15"/>
        <v>0</v>
      </c>
      <c r="F26" s="18">
        <f t="shared" si="15"/>
        <v>0</v>
      </c>
      <c r="G26" s="18">
        <f t="shared" si="15"/>
        <v>0</v>
      </c>
      <c r="H26" s="18">
        <f t="shared" si="15"/>
        <v>0</v>
      </c>
      <c r="I26" s="18">
        <f t="shared" si="15"/>
        <v>0</v>
      </c>
      <c r="J26" s="18">
        <f t="shared" si="15"/>
        <v>0</v>
      </c>
      <c r="K26" s="18">
        <f t="shared" si="15"/>
        <v>0</v>
      </c>
      <c r="L26" s="18">
        <f t="shared" si="15"/>
        <v>0</v>
      </c>
      <c r="M26" s="18">
        <f t="shared" si="15"/>
        <v>0</v>
      </c>
      <c r="N26" s="18">
        <f t="shared" si="15"/>
        <v>0</v>
      </c>
      <c r="O26" s="18">
        <f t="shared" si="15"/>
        <v>0</v>
      </c>
      <c r="P26" s="18">
        <f t="shared" si="15"/>
        <v>0</v>
      </c>
      <c r="Q26" s="18">
        <f t="shared" si="15"/>
        <v>0</v>
      </c>
      <c r="R26" s="18">
        <f t="shared" si="15"/>
        <v>0</v>
      </c>
      <c r="S26" s="18">
        <f t="shared" si="15"/>
        <v>0</v>
      </c>
      <c r="T26" s="18">
        <f t="shared" si="15"/>
        <v>0</v>
      </c>
      <c r="U26" s="18">
        <f t="shared" si="15"/>
        <v>0</v>
      </c>
      <c r="V26" s="18">
        <f t="shared" si="15"/>
        <v>0</v>
      </c>
    </row>
    <row r="27" spans="1:22" ht="15">
      <c r="A27" t="s">
        <v>593</v>
      </c>
      <c r="B27" s="18">
        <f>IF(B26=0,0,1-B26)</f>
        <v>0</v>
      </c>
      <c r="C27" s="18">
        <f aca="true" t="shared" si="16" ref="C27:V27">IF(C26=0,0,1-C26)</f>
        <v>0</v>
      </c>
      <c r="D27" s="18">
        <f t="shared" si="16"/>
        <v>0</v>
      </c>
      <c r="E27" s="18">
        <f t="shared" si="16"/>
        <v>0</v>
      </c>
      <c r="F27" s="18">
        <f t="shared" si="16"/>
        <v>0</v>
      </c>
      <c r="G27" s="18">
        <f t="shared" si="16"/>
        <v>0</v>
      </c>
      <c r="H27" s="18">
        <f t="shared" si="16"/>
        <v>0</v>
      </c>
      <c r="I27" s="18">
        <f t="shared" si="16"/>
        <v>0</v>
      </c>
      <c r="J27" s="18">
        <f t="shared" si="16"/>
        <v>0</v>
      </c>
      <c r="K27" s="18">
        <f t="shared" si="16"/>
        <v>0</v>
      </c>
      <c r="L27" s="18">
        <f t="shared" si="16"/>
        <v>0</v>
      </c>
      <c r="M27" s="18">
        <f t="shared" si="16"/>
        <v>0</v>
      </c>
      <c r="N27" s="18">
        <f t="shared" si="16"/>
        <v>0</v>
      </c>
      <c r="O27" s="18">
        <f t="shared" si="16"/>
        <v>0</v>
      </c>
      <c r="P27" s="18">
        <f t="shared" si="16"/>
        <v>0</v>
      </c>
      <c r="Q27" s="18">
        <f t="shared" si="16"/>
        <v>0</v>
      </c>
      <c r="R27" s="18">
        <f t="shared" si="16"/>
        <v>0</v>
      </c>
      <c r="S27" s="18">
        <f t="shared" si="16"/>
        <v>0</v>
      </c>
      <c r="T27" s="18">
        <f t="shared" si="16"/>
        <v>0</v>
      </c>
      <c r="U27" s="18">
        <f t="shared" si="16"/>
        <v>0</v>
      </c>
      <c r="V27" s="18">
        <f t="shared" si="16"/>
        <v>0</v>
      </c>
    </row>
    <row r="28" spans="1:22" s="6" customFormat="1" ht="15">
      <c r="A28" s="6" t="s">
        <v>599</v>
      </c>
      <c r="B28" s="18">
        <f>IF(AND($C$32=MEDIAN($C$32,B$23,C$23),$C$32&lt;&gt;C23,B$23&gt;=$E$32,$C$33&gt;=$E$33),MIN($C$33,$A$32),0)</f>
        <v>0</v>
      </c>
      <c r="C28" s="18">
        <f aca="true" t="shared" si="17" ref="C28:V28">IF(AND($C$32=MEDIAN($C$32,C$23,D$23),$C$32&lt;&gt;D23,C$23&gt;=$E$32,$C$33&gt;=$E$33),MIN($C$33,$A$32),0)</f>
        <v>0</v>
      </c>
      <c r="D28" s="18">
        <f t="shared" si="17"/>
        <v>0</v>
      </c>
      <c r="E28" s="18">
        <f t="shared" si="17"/>
        <v>0</v>
      </c>
      <c r="F28" s="18">
        <f t="shared" si="17"/>
        <v>0</v>
      </c>
      <c r="G28" s="18">
        <f t="shared" si="17"/>
        <v>0</v>
      </c>
      <c r="H28" s="18">
        <f t="shared" si="17"/>
        <v>0</v>
      </c>
      <c r="I28" s="18">
        <f t="shared" si="17"/>
        <v>0</v>
      </c>
      <c r="J28" s="18">
        <f t="shared" si="17"/>
        <v>0</v>
      </c>
      <c r="K28" s="18">
        <f t="shared" si="17"/>
        <v>0</v>
      </c>
      <c r="L28" s="18">
        <f t="shared" si="17"/>
        <v>0</v>
      </c>
      <c r="M28" s="18">
        <f t="shared" si="17"/>
        <v>0</v>
      </c>
      <c r="N28" s="18">
        <f t="shared" si="17"/>
        <v>0</v>
      </c>
      <c r="O28" s="18">
        <f t="shared" si="17"/>
        <v>0</v>
      </c>
      <c r="P28" s="18">
        <f t="shared" si="17"/>
        <v>0</v>
      </c>
      <c r="Q28" s="18">
        <f t="shared" si="17"/>
        <v>0</v>
      </c>
      <c r="R28" s="18">
        <f t="shared" si="17"/>
        <v>0</v>
      </c>
      <c r="S28" s="18">
        <f t="shared" si="17"/>
        <v>0</v>
      </c>
      <c r="T28" s="18">
        <f t="shared" si="17"/>
        <v>0</v>
      </c>
      <c r="U28" s="18">
        <f t="shared" si="17"/>
        <v>0</v>
      </c>
      <c r="V28" s="18">
        <f t="shared" si="17"/>
        <v>0</v>
      </c>
    </row>
    <row r="29" spans="1:22" s="6" customFormat="1" ht="15">
      <c r="A29" s="6" t="s">
        <v>600</v>
      </c>
      <c r="B29" s="18">
        <f>IF(B28&gt;0,$A$33,0)</f>
        <v>0</v>
      </c>
      <c r="C29" s="18">
        <f aca="true" t="shared" si="18" ref="C29:V29">IF(C28&gt;0,$A$33,0)</f>
        <v>0</v>
      </c>
      <c r="D29" s="18">
        <f t="shared" si="18"/>
        <v>0</v>
      </c>
      <c r="E29" s="18">
        <f t="shared" si="18"/>
        <v>0</v>
      </c>
      <c r="F29" s="18">
        <f t="shared" si="18"/>
        <v>0</v>
      </c>
      <c r="G29" s="18">
        <f t="shared" si="18"/>
        <v>0</v>
      </c>
      <c r="H29" s="18">
        <f t="shared" si="18"/>
        <v>0</v>
      </c>
      <c r="I29" s="18">
        <f t="shared" si="18"/>
        <v>0</v>
      </c>
      <c r="J29" s="18">
        <f t="shared" si="18"/>
        <v>0</v>
      </c>
      <c r="K29" s="18">
        <f t="shared" si="18"/>
        <v>0</v>
      </c>
      <c r="L29" s="18">
        <f t="shared" si="18"/>
        <v>0</v>
      </c>
      <c r="M29" s="18">
        <f t="shared" si="18"/>
        <v>0</v>
      </c>
      <c r="N29" s="18">
        <f t="shared" si="18"/>
        <v>0</v>
      </c>
      <c r="O29" s="18">
        <f t="shared" si="18"/>
        <v>0</v>
      </c>
      <c r="P29" s="18">
        <f t="shared" si="18"/>
        <v>0</v>
      </c>
      <c r="Q29" s="18">
        <f t="shared" si="18"/>
        <v>0</v>
      </c>
      <c r="R29" s="18">
        <f t="shared" si="18"/>
        <v>0</v>
      </c>
      <c r="S29" s="18">
        <f t="shared" si="18"/>
        <v>0</v>
      </c>
      <c r="T29" s="18">
        <f t="shared" si="18"/>
        <v>0</v>
      </c>
      <c r="U29" s="18">
        <f t="shared" si="18"/>
        <v>0</v>
      </c>
      <c r="V29" s="18">
        <f t="shared" si="18"/>
        <v>0</v>
      </c>
    </row>
    <row r="30" spans="9:11" ht="15">
      <c r="I30" t="s">
        <v>596</v>
      </c>
      <c r="J30" t="s">
        <v>601</v>
      </c>
      <c r="K30" t="s">
        <v>602</v>
      </c>
    </row>
    <row r="31" spans="5:11" ht="15">
      <c r="E31" t="s">
        <v>353</v>
      </c>
      <c r="H31" t="s">
        <v>594</v>
      </c>
      <c r="I31" s="574">
        <v>206</v>
      </c>
      <c r="J31">
        <v>178</v>
      </c>
      <c r="K31">
        <v>255</v>
      </c>
    </row>
    <row r="32" spans="1:11" ht="15">
      <c r="A32" s="18">
        <f>1-A33</f>
        <v>0.955</v>
      </c>
      <c r="B32" t="s">
        <v>215</v>
      </c>
      <c r="C32" s="18">
        <f>ROUNDDOWN(100*Vragen!BH69,0)/100</f>
        <v>0</v>
      </c>
      <c r="E32" s="18">
        <f>Resultatenblad!D23</f>
        <v>0</v>
      </c>
      <c r="H32" t="s">
        <v>595</v>
      </c>
      <c r="I32" s="574">
        <v>234</v>
      </c>
      <c r="J32">
        <v>222</v>
      </c>
      <c r="K32">
        <v>0</v>
      </c>
    </row>
    <row r="33" spans="1:11" ht="15">
      <c r="A33" s="18">
        <v>0.045</v>
      </c>
      <c r="B33" t="s">
        <v>216</v>
      </c>
      <c r="C33" s="18">
        <f>ROUNDDOWN(100*Vragen!BH70,0)/100</f>
        <v>0</v>
      </c>
      <c r="D33" s="18">
        <f>C33-A33</f>
        <v>-0.045</v>
      </c>
      <c r="E33" s="18">
        <f>Resultatenblad!D24</f>
        <v>0</v>
      </c>
      <c r="H33" t="s">
        <v>18</v>
      </c>
      <c r="I33" s="574">
        <v>176</v>
      </c>
      <c r="J33">
        <v>130</v>
      </c>
      <c r="K33">
        <v>0</v>
      </c>
    </row>
    <row r="38" spans="2:9" ht="15">
      <c r="B38" t="s">
        <v>676</v>
      </c>
      <c r="C38" t="str">
        <f>Vragen!CN5</f>
        <v>min</v>
      </c>
      <c r="D38" t="str">
        <f>Vragen!CO5</f>
        <v>max</v>
      </c>
      <c r="E38" t="s">
        <v>215</v>
      </c>
      <c r="F38" t="s">
        <v>216</v>
      </c>
      <c r="G38" t="s">
        <v>336</v>
      </c>
      <c r="H38" s="6" t="s">
        <v>683</v>
      </c>
      <c r="I38" t="s">
        <v>684</v>
      </c>
    </row>
    <row r="39" spans="1:9" ht="15">
      <c r="A39" t="str">
        <f>Vragen!AF6</f>
        <v>1a</v>
      </c>
      <c r="B39" s="6">
        <f>Vragen!AK6</f>
        <v>0</v>
      </c>
      <c r="C39" s="6">
        <f>Vragen!CN6</f>
        <v>2</v>
      </c>
      <c r="D39" s="6">
        <f>Vragen!CO6</f>
        <v>4</v>
      </c>
      <c r="E39">
        <f>Vragen!$AK6*Vragen!BM6</f>
        <v>0</v>
      </c>
      <c r="F39" s="6">
        <f>Vragen!$AK6*Vragen!BN6</f>
        <v>0</v>
      </c>
      <c r="G39" t="str">
        <f>Vragen!CK6</f>
        <v>INK organisatiegebieden</v>
      </c>
      <c r="H39" s="6" t="str">
        <f>IF(G39=G38,"",LEFT(G39,3))</f>
        <v>INK</v>
      </c>
      <c r="I39">
        <v>0</v>
      </c>
    </row>
    <row r="40" spans="1:9" ht="15">
      <c r="A40" s="6" t="str">
        <f>Vragen!AF7</f>
        <v>1b</v>
      </c>
      <c r="B40" s="6">
        <f>Vragen!AK7</f>
        <v>0</v>
      </c>
      <c r="C40" s="6">
        <f>Vragen!CN7</f>
        <v>2</v>
      </c>
      <c r="D40" s="6">
        <f>Vragen!CO7</f>
        <v>4</v>
      </c>
      <c r="E40" s="6">
        <f>Vragen!$AK7*Vragen!BM7</f>
        <v>0</v>
      </c>
      <c r="F40" s="6">
        <f>Vragen!$AK7*Vragen!BN7</f>
        <v>0</v>
      </c>
      <c r="G40" s="6" t="str">
        <f>Vragen!CK7</f>
        <v>INK organisatiegebieden</v>
      </c>
      <c r="H40" s="6" t="str">
        <f>IF(G40=G39,"",G40)</f>
        <v/>
      </c>
      <c r="I40" s="6">
        <v>0</v>
      </c>
    </row>
    <row r="41" spans="1:9" ht="15">
      <c r="A41" s="6" t="str">
        <f>Vragen!AF8</f>
        <v>2a</v>
      </c>
      <c r="B41" s="6">
        <f>Vragen!AK8</f>
        <v>0</v>
      </c>
      <c r="C41" s="6">
        <f>Vragen!CN8</f>
        <v>2</v>
      </c>
      <c r="D41" s="6">
        <f>Vragen!CO8</f>
        <v>4</v>
      </c>
      <c r="E41" s="6">
        <f>Vragen!$AK8*Vragen!BM8</f>
        <v>0</v>
      </c>
      <c r="F41" s="6">
        <f>Vragen!$AK8*Vragen!BN8</f>
        <v>0</v>
      </c>
      <c r="G41" s="6" t="str">
        <f>Vragen!CK8</f>
        <v>INK organisatiegebieden</v>
      </c>
      <c r="H41" s="6" t="str">
        <f aca="true" t="shared" si="19" ref="H41:H89">IF(G41=G40,"",G41)</f>
        <v/>
      </c>
      <c r="I41" s="6">
        <v>0</v>
      </c>
    </row>
    <row r="42" spans="1:9" ht="15">
      <c r="A42" s="6" t="str">
        <f>Vragen!AF9</f>
        <v>2b</v>
      </c>
      <c r="B42" s="6">
        <f>Vragen!AK9</f>
        <v>0</v>
      </c>
      <c r="C42" s="6">
        <f>Vragen!CN9</f>
        <v>3</v>
      </c>
      <c r="D42" s="6">
        <f>Vragen!CO9</f>
        <v>4</v>
      </c>
      <c r="E42" s="6">
        <f>Vragen!$AK9*Vragen!BM9</f>
        <v>0</v>
      </c>
      <c r="F42" s="6">
        <f>Vragen!$AK9*Vragen!BN9</f>
        <v>0</v>
      </c>
      <c r="G42" s="6" t="str">
        <f>Vragen!CK9</f>
        <v>INK organisatiegebieden</v>
      </c>
      <c r="H42" s="6" t="str">
        <f t="shared" si="19"/>
        <v/>
      </c>
      <c r="I42" s="6">
        <v>0</v>
      </c>
    </row>
    <row r="43" spans="1:9" ht="15">
      <c r="A43" s="6" t="str">
        <f>Vragen!AF10</f>
        <v>2c</v>
      </c>
      <c r="B43" s="6">
        <f>Vragen!AK10</f>
        <v>0</v>
      </c>
      <c r="C43" s="6">
        <f>Vragen!CN10</f>
        <v>2</v>
      </c>
      <c r="D43" s="6">
        <f>Vragen!CO10</f>
        <v>4</v>
      </c>
      <c r="E43" s="6">
        <f>Vragen!$AK10*Vragen!BM10</f>
        <v>0</v>
      </c>
      <c r="F43" s="6">
        <f>Vragen!$AK10*Vragen!BN10</f>
        <v>0</v>
      </c>
      <c r="G43" s="6" t="str">
        <f>Vragen!CK10</f>
        <v>INK organisatiegebieden</v>
      </c>
      <c r="H43" s="6" t="str">
        <f t="shared" si="19"/>
        <v/>
      </c>
      <c r="I43" s="6">
        <v>0</v>
      </c>
    </row>
    <row r="44" spans="1:9" ht="15">
      <c r="A44" s="6" t="str">
        <f>Vragen!AF11</f>
        <v>3a</v>
      </c>
      <c r="B44" s="6">
        <f>Vragen!AK11</f>
        <v>0</v>
      </c>
      <c r="C44" s="6">
        <f>Vragen!CN11</f>
        <v>2</v>
      </c>
      <c r="D44" s="6">
        <f>Vragen!CO11</f>
        <v>4</v>
      </c>
      <c r="E44" s="6">
        <f>Vragen!$AK11*Vragen!BM11</f>
        <v>0</v>
      </c>
      <c r="F44" s="6">
        <f>Vragen!$AK11*Vragen!BN11</f>
        <v>0</v>
      </c>
      <c r="G44" s="6" t="str">
        <f>Vragen!CK11</f>
        <v>INK organisatiegebieden</v>
      </c>
      <c r="H44" s="6" t="str">
        <f t="shared" si="19"/>
        <v/>
      </c>
      <c r="I44" s="6">
        <v>0</v>
      </c>
    </row>
    <row r="45" spans="1:9" ht="15">
      <c r="A45" s="6" t="str">
        <f>Vragen!AF12</f>
        <v>3b</v>
      </c>
      <c r="B45" s="6">
        <f>Vragen!AK12</f>
        <v>0</v>
      </c>
      <c r="C45" s="6">
        <f>Vragen!CN12</f>
        <v>2</v>
      </c>
      <c r="D45" s="6">
        <f>Vragen!CO12</f>
        <v>4</v>
      </c>
      <c r="E45" s="6">
        <f>Vragen!$AK12*Vragen!BM12</f>
        <v>0</v>
      </c>
      <c r="F45" s="6">
        <f>Vragen!$AK12*Vragen!BN12</f>
        <v>0</v>
      </c>
      <c r="G45" s="6" t="str">
        <f>Vragen!CK12</f>
        <v>INK organisatiegebieden</v>
      </c>
      <c r="H45" s="6" t="str">
        <f t="shared" si="19"/>
        <v/>
      </c>
      <c r="I45" s="6">
        <v>0</v>
      </c>
    </row>
    <row r="46" spans="1:9" ht="15">
      <c r="A46" s="6" t="str">
        <f>Vragen!AF13</f>
        <v>4a</v>
      </c>
      <c r="B46" s="6">
        <f>Vragen!AK13</f>
        <v>0</v>
      </c>
      <c r="C46" s="6">
        <f>Vragen!CN13</f>
        <v>2</v>
      </c>
      <c r="D46" s="6">
        <f>Vragen!CO13</f>
        <v>4</v>
      </c>
      <c r="E46" s="6">
        <f>Vragen!$AK13*Vragen!BM13</f>
        <v>0</v>
      </c>
      <c r="F46" s="6">
        <f>Vragen!$AK13*Vragen!BN13</f>
        <v>0</v>
      </c>
      <c r="G46" s="6" t="str">
        <f>Vragen!CK13</f>
        <v>INK organisatiegebieden</v>
      </c>
      <c r="H46" s="6" t="str">
        <f t="shared" si="19"/>
        <v/>
      </c>
      <c r="I46" s="6">
        <v>0</v>
      </c>
    </row>
    <row r="47" spans="1:9" ht="15">
      <c r="A47" s="6" t="str">
        <f>Vragen!AF14</f>
        <v>4b</v>
      </c>
      <c r="B47" s="6">
        <f>Vragen!AK14</f>
        <v>0</v>
      </c>
      <c r="C47" s="6">
        <f>Vragen!CN14</f>
        <v>2</v>
      </c>
      <c r="D47" s="6">
        <f>Vragen!CO14</f>
        <v>4</v>
      </c>
      <c r="E47" s="6">
        <f>Vragen!$AK14*Vragen!BM14</f>
        <v>0</v>
      </c>
      <c r="F47" s="6">
        <f>Vragen!$AK14*Vragen!BN14</f>
        <v>0</v>
      </c>
      <c r="G47" s="6" t="str">
        <f>Vragen!CK14</f>
        <v>INK organisatiegebieden</v>
      </c>
      <c r="H47" s="6" t="str">
        <f t="shared" si="19"/>
        <v/>
      </c>
      <c r="I47" s="6">
        <v>0</v>
      </c>
    </row>
    <row r="48" spans="1:9" ht="15">
      <c r="A48" s="6" t="str">
        <f>Vragen!AF15</f>
        <v>4c</v>
      </c>
      <c r="B48" s="6">
        <f>Vragen!AK15</f>
        <v>0</v>
      </c>
      <c r="C48" s="6">
        <f>Vragen!CN15</f>
        <v>2</v>
      </c>
      <c r="D48" s="6">
        <f>Vragen!CO15</f>
        <v>4</v>
      </c>
      <c r="E48" s="6">
        <f>Vragen!$AK15*Vragen!BM15</f>
        <v>0</v>
      </c>
      <c r="F48" s="6">
        <f>Vragen!$AK15*Vragen!BN15</f>
        <v>0</v>
      </c>
      <c r="G48" s="6" t="str">
        <f>Vragen!CK15</f>
        <v>INK organisatiegebieden</v>
      </c>
      <c r="H48" s="6" t="str">
        <f t="shared" si="19"/>
        <v/>
      </c>
      <c r="I48" s="6">
        <v>0</v>
      </c>
    </row>
    <row r="49" spans="1:9" ht="15">
      <c r="A49" s="6" t="str">
        <f>Vragen!AF16</f>
        <v>5a</v>
      </c>
      <c r="B49" s="6">
        <f>Vragen!AK16</f>
        <v>0</v>
      </c>
      <c r="C49" s="6">
        <f>Vragen!CN16</f>
        <v>3</v>
      </c>
      <c r="D49" s="6">
        <f>Vragen!CO16</f>
        <v>4</v>
      </c>
      <c r="E49" s="6">
        <f>Vragen!$AK16*Vragen!BM16</f>
        <v>0</v>
      </c>
      <c r="F49" s="6">
        <f>Vragen!$AK16*Vragen!BN16</f>
        <v>0</v>
      </c>
      <c r="G49" s="6" t="str">
        <f>Vragen!CK16</f>
        <v>INK organisatiegebieden</v>
      </c>
      <c r="H49" s="6" t="str">
        <f t="shared" si="19"/>
        <v/>
      </c>
      <c r="I49" s="6">
        <v>0</v>
      </c>
    </row>
    <row r="50" spans="1:9" ht="15">
      <c r="A50" s="6" t="str">
        <f>Vragen!AF17</f>
        <v>5b</v>
      </c>
      <c r="B50" s="6">
        <f>Vragen!AK17</f>
        <v>0</v>
      </c>
      <c r="C50" s="6">
        <f>Vragen!CN17</f>
        <v>2</v>
      </c>
      <c r="D50" s="6">
        <f>Vragen!CO17</f>
        <v>4</v>
      </c>
      <c r="E50" s="6">
        <f>Vragen!$AK17*Vragen!BM17</f>
        <v>0</v>
      </c>
      <c r="F50" s="6">
        <f>Vragen!$AK17*Vragen!BN17</f>
        <v>0</v>
      </c>
      <c r="G50" s="6" t="str">
        <f>Vragen!CK17</f>
        <v>INK organisatiegebieden</v>
      </c>
      <c r="H50" s="6" t="str">
        <f t="shared" si="19"/>
        <v/>
      </c>
      <c r="I50" s="6">
        <v>0</v>
      </c>
    </row>
    <row r="51" spans="1:9" ht="15">
      <c r="A51" s="6" t="str">
        <f>Vragen!AF18</f>
        <v>6a</v>
      </c>
      <c r="B51" s="6">
        <f>Vragen!AK18</f>
        <v>0</v>
      </c>
      <c r="C51" s="6">
        <f>Vragen!CN18</f>
        <v>3</v>
      </c>
      <c r="D51" s="6">
        <f>Vragen!CO18</f>
        <v>4</v>
      </c>
      <c r="E51" s="6">
        <f>Vragen!$AK18*Vragen!BM18</f>
        <v>0</v>
      </c>
      <c r="F51" s="6">
        <f>Vragen!$AK18*Vragen!BN18</f>
        <v>0</v>
      </c>
      <c r="G51" s="6" t="str">
        <f>Vragen!CK18</f>
        <v>Fase 1</v>
      </c>
      <c r="H51" s="6" t="str">
        <f t="shared" si="19"/>
        <v>Fase 1</v>
      </c>
      <c r="I51" s="6">
        <v>0</v>
      </c>
    </row>
    <row r="52" spans="1:9" ht="15">
      <c r="A52" s="6" t="str">
        <f>Vragen!AF19</f>
        <v>6b</v>
      </c>
      <c r="B52" s="6">
        <f>Vragen!AK19</f>
        <v>0</v>
      </c>
      <c r="C52" s="6">
        <f>Vragen!CN19</f>
        <v>1</v>
      </c>
      <c r="D52" s="6">
        <f>Vragen!CO19</f>
        <v>4</v>
      </c>
      <c r="E52" s="6">
        <f>Vragen!$AK19*Vragen!BM19</f>
        <v>0</v>
      </c>
      <c r="F52" s="6">
        <f>Vragen!$AK19*Vragen!BN19</f>
        <v>0</v>
      </c>
      <c r="G52" s="6" t="str">
        <f>Vragen!CK19</f>
        <v>Fase 1</v>
      </c>
      <c r="H52" s="6" t="str">
        <f t="shared" si="19"/>
        <v/>
      </c>
      <c r="I52" s="6">
        <v>0</v>
      </c>
    </row>
    <row r="53" spans="1:9" ht="15">
      <c r="A53" s="6" t="str">
        <f>Vragen!AF20</f>
        <v>7a</v>
      </c>
      <c r="B53" s="6">
        <f>Vragen!AK20</f>
        <v>0</v>
      </c>
      <c r="C53" s="6">
        <f>Vragen!CN20</f>
        <v>2</v>
      </c>
      <c r="D53" s="6">
        <f>Vragen!CO20</f>
        <v>4</v>
      </c>
      <c r="E53" s="6">
        <f>Vragen!$AK20*Vragen!BM20</f>
        <v>0</v>
      </c>
      <c r="F53" s="6">
        <f>Vragen!$AK20*Vragen!BN20</f>
        <v>0</v>
      </c>
      <c r="G53" s="6" t="str">
        <f>Vragen!CK20</f>
        <v>Fase 1</v>
      </c>
      <c r="H53" s="6" t="str">
        <f t="shared" si="19"/>
        <v/>
      </c>
      <c r="I53" s="6">
        <v>0</v>
      </c>
    </row>
    <row r="54" spans="1:9" ht="15">
      <c r="A54" s="6" t="str">
        <f>Vragen!AF21</f>
        <v>7b</v>
      </c>
      <c r="B54" s="6">
        <f>Vragen!AK21</f>
        <v>0</v>
      </c>
      <c r="C54" s="6">
        <f>Vragen!CN21</f>
        <v>2</v>
      </c>
      <c r="D54" s="6">
        <f>Vragen!CO21</f>
        <v>4</v>
      </c>
      <c r="E54" s="6">
        <f>Vragen!$AK21*Vragen!BM21</f>
        <v>0</v>
      </c>
      <c r="F54" s="6">
        <f>Vragen!$AK21*Vragen!BN21</f>
        <v>0</v>
      </c>
      <c r="G54" s="6" t="str">
        <f>Vragen!CK21</f>
        <v>Fase 1</v>
      </c>
      <c r="H54" s="6" t="str">
        <f t="shared" si="19"/>
        <v/>
      </c>
      <c r="I54" s="6">
        <v>0</v>
      </c>
    </row>
    <row r="55" spans="1:9" ht="15">
      <c r="A55" s="6" t="str">
        <f>Vragen!AF22</f>
        <v>8a</v>
      </c>
      <c r="B55" s="6">
        <f>Vragen!AK22</f>
        <v>0</v>
      </c>
      <c r="C55" s="6">
        <f>Vragen!CN22</f>
        <v>2</v>
      </c>
      <c r="D55" s="6">
        <f>Vragen!CO22</f>
        <v>4</v>
      </c>
      <c r="E55" s="6">
        <f>Vragen!$AK22*Vragen!BM22</f>
        <v>0</v>
      </c>
      <c r="F55" s="6">
        <f>Vragen!$AK22*Vragen!BN22</f>
        <v>0</v>
      </c>
      <c r="G55" s="6" t="str">
        <f>Vragen!CK22</f>
        <v>Fase 1</v>
      </c>
      <c r="H55" s="6" t="str">
        <f t="shared" si="19"/>
        <v/>
      </c>
      <c r="I55" s="6">
        <v>0</v>
      </c>
    </row>
    <row r="56" spans="1:9" ht="15">
      <c r="A56" s="6" t="str">
        <f>Vragen!AF23</f>
        <v>8b</v>
      </c>
      <c r="B56" s="6">
        <f>Vragen!AK23</f>
        <v>0</v>
      </c>
      <c r="C56" s="6">
        <f>Vragen!CN23</f>
        <v>1</v>
      </c>
      <c r="D56" s="6">
        <f>Vragen!CO23</f>
        <v>4</v>
      </c>
      <c r="E56" s="6">
        <f>Vragen!$AK23*Vragen!BM23</f>
        <v>0</v>
      </c>
      <c r="F56" s="6">
        <f>Vragen!$AK23*Vragen!BN23</f>
        <v>0</v>
      </c>
      <c r="G56" s="6" t="str">
        <f>Vragen!CK23</f>
        <v>Fase 1</v>
      </c>
      <c r="H56" s="6" t="str">
        <f t="shared" si="19"/>
        <v/>
      </c>
      <c r="I56" s="6">
        <v>0</v>
      </c>
    </row>
    <row r="57" spans="1:9" ht="15">
      <c r="A57" s="6" t="str">
        <f>Vragen!AF24</f>
        <v>8c</v>
      </c>
      <c r="B57" s="6">
        <f>Vragen!AK24</f>
        <v>0</v>
      </c>
      <c r="C57" s="6">
        <f>Vragen!CN24</f>
        <v>2</v>
      </c>
      <c r="D57" s="6">
        <f>Vragen!CO24</f>
        <v>4</v>
      </c>
      <c r="E57" s="6">
        <f>Vragen!$AK24*Vragen!BM24</f>
        <v>0</v>
      </c>
      <c r="F57" s="6">
        <f>Vragen!$AK24*Vragen!BN24</f>
        <v>0</v>
      </c>
      <c r="G57" s="6" t="str">
        <f>Vragen!CK24</f>
        <v>Fase 1</v>
      </c>
      <c r="H57" s="6" t="str">
        <f t="shared" si="19"/>
        <v/>
      </c>
      <c r="I57" s="6">
        <v>0</v>
      </c>
    </row>
    <row r="58" spans="1:9" ht="15">
      <c r="A58" s="6" t="str">
        <f>Vragen!AF25</f>
        <v>8d</v>
      </c>
      <c r="B58" s="6">
        <f>Vragen!AK25</f>
        <v>0</v>
      </c>
      <c r="C58" s="6">
        <f>Vragen!CN25</f>
        <v>2</v>
      </c>
      <c r="D58" s="6">
        <f>Vragen!CO25</f>
        <v>4</v>
      </c>
      <c r="E58" s="6">
        <f>Vragen!$AK25*Vragen!BM25</f>
        <v>0</v>
      </c>
      <c r="F58" s="6">
        <f>Vragen!$AK25*Vragen!BN25</f>
        <v>0</v>
      </c>
      <c r="G58" s="6" t="str">
        <f>Vragen!CK25</f>
        <v>Fase 1</v>
      </c>
      <c r="H58" s="6" t="str">
        <f t="shared" si="19"/>
        <v/>
      </c>
      <c r="I58" s="6">
        <v>0</v>
      </c>
    </row>
    <row r="59" spans="1:9" ht="15">
      <c r="A59" s="6" t="str">
        <f>Vragen!AF26</f>
        <v>9a</v>
      </c>
      <c r="B59" s="6">
        <f>Vragen!AK26</f>
        <v>0</v>
      </c>
      <c r="C59" s="6">
        <f>Vragen!CN26</f>
        <v>3</v>
      </c>
      <c r="D59" s="6">
        <f>Vragen!CO26</f>
        <v>4</v>
      </c>
      <c r="E59" s="6">
        <f>Vragen!$AK26*Vragen!BM26</f>
        <v>0</v>
      </c>
      <c r="F59" s="6">
        <f>Vragen!$AK26*Vragen!BN26</f>
        <v>0</v>
      </c>
      <c r="G59" s="6" t="str">
        <f>Vragen!CK26</f>
        <v>Fase 2</v>
      </c>
      <c r="H59" s="6" t="str">
        <f t="shared" si="19"/>
        <v>Fase 2</v>
      </c>
      <c r="I59" s="6">
        <v>0</v>
      </c>
    </row>
    <row r="60" spans="1:9" ht="15">
      <c r="A60" s="6" t="str">
        <f>Vragen!AF27</f>
        <v>9b</v>
      </c>
      <c r="B60" s="6">
        <f>Vragen!AK27</f>
        <v>0</v>
      </c>
      <c r="C60" s="6">
        <f>Vragen!CN27</f>
        <v>1</v>
      </c>
      <c r="D60" s="6">
        <f>Vragen!CO27</f>
        <v>4</v>
      </c>
      <c r="E60" s="6">
        <f>Vragen!$AK27*Vragen!BM27</f>
        <v>0</v>
      </c>
      <c r="F60" s="6">
        <f>Vragen!$AK27*Vragen!BN27</f>
        <v>0</v>
      </c>
      <c r="G60" s="6" t="str">
        <f>Vragen!CK27</f>
        <v>Fase 2</v>
      </c>
      <c r="H60" s="6" t="str">
        <f t="shared" si="19"/>
        <v/>
      </c>
      <c r="I60" s="6">
        <v>0</v>
      </c>
    </row>
    <row r="61" spans="1:9" ht="15">
      <c r="A61" s="6" t="str">
        <f>Vragen!AF28</f>
        <v>10a</v>
      </c>
      <c r="B61" s="6">
        <f>Vragen!AK28</f>
        <v>0</v>
      </c>
      <c r="C61" s="6">
        <f>Vragen!CN28</f>
        <v>2</v>
      </c>
      <c r="D61" s="6">
        <f>Vragen!CO28</f>
        <v>4</v>
      </c>
      <c r="E61" s="6">
        <f>Vragen!$AK28*Vragen!BM28</f>
        <v>0</v>
      </c>
      <c r="F61" s="6">
        <f>Vragen!$AK28*Vragen!BN28</f>
        <v>0</v>
      </c>
      <c r="G61" s="6" t="str">
        <f>Vragen!CK28</f>
        <v>Fase 2</v>
      </c>
      <c r="H61" s="6" t="str">
        <f t="shared" si="19"/>
        <v/>
      </c>
      <c r="I61" s="6">
        <v>0</v>
      </c>
    </row>
    <row r="62" spans="1:9" ht="15">
      <c r="A62" s="6" t="str">
        <f>Vragen!AF29</f>
        <v>10b</v>
      </c>
      <c r="B62" s="6">
        <f>Vragen!AK29</f>
        <v>0</v>
      </c>
      <c r="C62" s="6">
        <f>Vragen!CN29</f>
        <v>3</v>
      </c>
      <c r="D62" s="6">
        <f>Vragen!CO29</f>
        <v>4</v>
      </c>
      <c r="E62" s="6">
        <f>Vragen!$AK29*Vragen!BM29</f>
        <v>0</v>
      </c>
      <c r="F62" s="6">
        <f>Vragen!$AK29*Vragen!BN29</f>
        <v>0</v>
      </c>
      <c r="G62" s="6" t="str">
        <f>Vragen!CK29</f>
        <v>Fase 2</v>
      </c>
      <c r="H62" s="6" t="str">
        <f t="shared" si="19"/>
        <v/>
      </c>
      <c r="I62" s="6">
        <v>0</v>
      </c>
    </row>
    <row r="63" spans="1:9" ht="15">
      <c r="A63" s="6" t="str">
        <f>Vragen!AF30</f>
        <v>10c</v>
      </c>
      <c r="B63" s="6">
        <f>Vragen!AK30</f>
        <v>0</v>
      </c>
      <c r="C63" s="6">
        <f>Vragen!CN30</f>
        <v>3</v>
      </c>
      <c r="D63" s="6">
        <f>Vragen!CO30</f>
        <v>4</v>
      </c>
      <c r="E63" s="6">
        <f>Vragen!$AK30*Vragen!BM30</f>
        <v>0</v>
      </c>
      <c r="F63" s="6">
        <f>Vragen!$AK30*Vragen!BN30</f>
        <v>0</v>
      </c>
      <c r="G63" s="6" t="str">
        <f>Vragen!CK30</f>
        <v>Fase 2</v>
      </c>
      <c r="H63" s="6" t="str">
        <f t="shared" si="19"/>
        <v/>
      </c>
      <c r="I63" s="6">
        <v>0</v>
      </c>
    </row>
    <row r="64" spans="1:9" ht="15">
      <c r="A64" s="6" t="str">
        <f>Vragen!AF31</f>
        <v>11a</v>
      </c>
      <c r="B64" s="6">
        <f>Vragen!AK31</f>
        <v>0</v>
      </c>
      <c r="C64" s="6">
        <f>Vragen!CN31</f>
        <v>2</v>
      </c>
      <c r="D64" s="6">
        <f>Vragen!CO31</f>
        <v>4</v>
      </c>
      <c r="E64" s="6">
        <f>Vragen!$AK31*Vragen!BM31</f>
        <v>0</v>
      </c>
      <c r="F64" s="6">
        <f>Vragen!$AK31*Vragen!BN31</f>
        <v>0</v>
      </c>
      <c r="G64" s="6" t="str">
        <f>Vragen!CK31</f>
        <v>Fase 2</v>
      </c>
      <c r="H64" s="6" t="str">
        <f t="shared" si="19"/>
        <v/>
      </c>
      <c r="I64" s="6">
        <v>0</v>
      </c>
    </row>
    <row r="65" spans="1:9" ht="15">
      <c r="A65" s="6" t="str">
        <f>Vragen!AF32</f>
        <v>11b</v>
      </c>
      <c r="B65" s="6">
        <f>Vragen!AK32</f>
        <v>0</v>
      </c>
      <c r="C65" s="6">
        <f>Vragen!CN32</f>
        <v>2</v>
      </c>
      <c r="D65" s="6">
        <f>Vragen!CO32</f>
        <v>4</v>
      </c>
      <c r="E65" s="6">
        <f>Vragen!$AK32*Vragen!BM32</f>
        <v>0</v>
      </c>
      <c r="F65" s="6">
        <f>Vragen!$AK32*Vragen!BN32</f>
        <v>0</v>
      </c>
      <c r="G65" s="6" t="str">
        <f>Vragen!CK32</f>
        <v>Fase 2</v>
      </c>
      <c r="H65" s="6" t="str">
        <f t="shared" si="19"/>
        <v/>
      </c>
      <c r="I65" s="6">
        <v>0</v>
      </c>
    </row>
    <row r="66" spans="1:9" ht="15">
      <c r="A66" s="6" t="str">
        <f>Vragen!AF33</f>
        <v>12a</v>
      </c>
      <c r="B66" s="6">
        <f>Vragen!AK33</f>
        <v>0</v>
      </c>
      <c r="C66" s="6">
        <f>Vragen!CN33</f>
        <v>2</v>
      </c>
      <c r="D66" s="6">
        <f>Vragen!CO33</f>
        <v>4</v>
      </c>
      <c r="E66" s="6">
        <f>Vragen!$AK33*Vragen!BM33</f>
        <v>0</v>
      </c>
      <c r="F66" s="6">
        <f>Vragen!$AK33*Vragen!BN33</f>
        <v>0</v>
      </c>
      <c r="G66" s="6" t="str">
        <f>Vragen!CK33</f>
        <v>Fase 2</v>
      </c>
      <c r="H66" s="6" t="str">
        <f t="shared" si="19"/>
        <v/>
      </c>
      <c r="I66" s="6">
        <v>0</v>
      </c>
    </row>
    <row r="67" spans="1:9" ht="15">
      <c r="A67" s="6" t="str">
        <f>Vragen!AF34</f>
        <v>12b</v>
      </c>
      <c r="B67" s="6">
        <f>Vragen!AK34</f>
        <v>0</v>
      </c>
      <c r="C67" s="6">
        <f>Vragen!CN34</f>
        <v>2</v>
      </c>
      <c r="D67" s="6">
        <f>Vragen!CO34</f>
        <v>4</v>
      </c>
      <c r="E67" s="6">
        <f>Vragen!$AK34*Vragen!BM34</f>
        <v>0</v>
      </c>
      <c r="F67" s="6">
        <f>Vragen!$AK34*Vragen!BN34</f>
        <v>0</v>
      </c>
      <c r="G67" s="6" t="str">
        <f>Vragen!CK34</f>
        <v>Fase 2</v>
      </c>
      <c r="H67" s="6" t="str">
        <f t="shared" si="19"/>
        <v/>
      </c>
      <c r="I67" s="6">
        <v>0</v>
      </c>
    </row>
    <row r="68" spans="1:9" ht="15">
      <c r="A68" s="6" t="str">
        <f>Vragen!AF35</f>
        <v>12c</v>
      </c>
      <c r="B68" s="6">
        <f>Vragen!AK35</f>
        <v>0</v>
      </c>
      <c r="C68" s="6">
        <f>Vragen!CN35</f>
        <v>2</v>
      </c>
      <c r="D68" s="6">
        <f>Vragen!CO35</f>
        <v>4</v>
      </c>
      <c r="E68" s="6">
        <f>Vragen!$AK35*Vragen!BM35</f>
        <v>0</v>
      </c>
      <c r="F68" s="6">
        <f>Vragen!$AK35*Vragen!BN35</f>
        <v>0</v>
      </c>
      <c r="G68" s="6" t="str">
        <f>Vragen!CK35</f>
        <v>Fase 2</v>
      </c>
      <c r="H68" s="6" t="str">
        <f t="shared" si="19"/>
        <v/>
      </c>
      <c r="I68" s="6">
        <v>0</v>
      </c>
    </row>
    <row r="69" spans="1:9" ht="15">
      <c r="A69" s="6" t="str">
        <f>Vragen!AF36</f>
        <v>13a</v>
      </c>
      <c r="B69" s="6">
        <f>Vragen!AK36</f>
        <v>0</v>
      </c>
      <c r="C69" s="6">
        <f>Vragen!CN36</f>
        <v>3</v>
      </c>
      <c r="D69" s="6">
        <f>Vragen!CO36</f>
        <v>4</v>
      </c>
      <c r="E69" s="6">
        <f>Vragen!$AK36*Vragen!BM36</f>
        <v>0</v>
      </c>
      <c r="F69" s="6">
        <f>Vragen!$AK36*Vragen!BN36</f>
        <v>0</v>
      </c>
      <c r="G69" s="6" t="str">
        <f>Vragen!CK36</f>
        <v>Fase 3</v>
      </c>
      <c r="H69" s="6" t="str">
        <f t="shared" si="19"/>
        <v>Fase 3</v>
      </c>
      <c r="I69" s="6">
        <v>0</v>
      </c>
    </row>
    <row r="70" spans="1:9" ht="15">
      <c r="A70" s="6" t="str">
        <f>Vragen!AF37</f>
        <v>13b</v>
      </c>
      <c r="B70" s="6">
        <f>Vragen!AK37</f>
        <v>0</v>
      </c>
      <c r="C70" s="6">
        <f>Vragen!CN37</f>
        <v>3</v>
      </c>
      <c r="D70" s="6">
        <f>Vragen!CO37</f>
        <v>4</v>
      </c>
      <c r="E70" s="6">
        <f>Vragen!$AK37*Vragen!BM37</f>
        <v>0</v>
      </c>
      <c r="F70" s="6">
        <f>Vragen!$AK37*Vragen!BN37</f>
        <v>0</v>
      </c>
      <c r="G70" s="6" t="str">
        <f>Vragen!CK37</f>
        <v>Fase 3</v>
      </c>
      <c r="H70" s="6" t="str">
        <f t="shared" si="19"/>
        <v/>
      </c>
      <c r="I70" s="6">
        <v>0</v>
      </c>
    </row>
    <row r="71" spans="1:9" ht="15">
      <c r="A71" s="6" t="str">
        <f>Vragen!AF38</f>
        <v>13c</v>
      </c>
      <c r="B71" s="6">
        <f>Vragen!AK38</f>
        <v>0</v>
      </c>
      <c r="C71" s="6">
        <f>Vragen!CN38</f>
        <v>3</v>
      </c>
      <c r="D71" s="6">
        <f>Vragen!CO38</f>
        <v>4</v>
      </c>
      <c r="E71" s="6">
        <f>Vragen!$AK38*Vragen!BM38</f>
        <v>0</v>
      </c>
      <c r="F71" s="6">
        <f>Vragen!$AK38*Vragen!BN38</f>
        <v>0</v>
      </c>
      <c r="G71" s="6" t="str">
        <f>Vragen!CK38</f>
        <v>Fase 3</v>
      </c>
      <c r="H71" s="6" t="str">
        <f t="shared" si="19"/>
        <v/>
      </c>
      <c r="I71" s="6">
        <v>0</v>
      </c>
    </row>
    <row r="72" spans="1:9" ht="15">
      <c r="A72" s="6" t="str">
        <f>Vragen!AF39</f>
        <v>13d</v>
      </c>
      <c r="B72" s="6">
        <f>Vragen!AK39</f>
        <v>0</v>
      </c>
      <c r="C72" s="6">
        <f>Vragen!CN39</f>
        <v>2</v>
      </c>
      <c r="D72" s="6">
        <f>Vragen!CO39</f>
        <v>4</v>
      </c>
      <c r="E72" s="6">
        <f>Vragen!$AK39*Vragen!BM39</f>
        <v>0</v>
      </c>
      <c r="F72" s="6">
        <f>Vragen!$AK39*Vragen!BN39</f>
        <v>0</v>
      </c>
      <c r="G72" s="6" t="str">
        <f>Vragen!CK39</f>
        <v>Fase 3</v>
      </c>
      <c r="H72" s="6" t="str">
        <f t="shared" si="19"/>
        <v/>
      </c>
      <c r="I72" s="6">
        <v>0</v>
      </c>
    </row>
    <row r="73" spans="1:9" ht="15">
      <c r="A73" s="6" t="str">
        <f>Vragen!AF40</f>
        <v>13e</v>
      </c>
      <c r="B73" s="6">
        <f>Vragen!AK40</f>
        <v>0</v>
      </c>
      <c r="C73" s="6">
        <f>Vragen!CN40</f>
        <v>3</v>
      </c>
      <c r="D73" s="6">
        <f>Vragen!CO40</f>
        <v>4</v>
      </c>
      <c r="E73" s="6">
        <f>Vragen!$AK40*Vragen!BM40</f>
        <v>0</v>
      </c>
      <c r="F73" s="6">
        <f>Vragen!$AK40*Vragen!BN40</f>
        <v>0</v>
      </c>
      <c r="G73" s="6" t="str">
        <f>Vragen!CK40</f>
        <v>Fase 3</v>
      </c>
      <c r="H73" s="6" t="str">
        <f t="shared" si="19"/>
        <v/>
      </c>
      <c r="I73" s="6">
        <v>0</v>
      </c>
    </row>
    <row r="74" spans="1:9" ht="15">
      <c r="A74" s="6" t="str">
        <f>Vragen!AF41</f>
        <v>14a</v>
      </c>
      <c r="B74" s="6">
        <f>Vragen!AK41</f>
        <v>0</v>
      </c>
      <c r="C74" s="6">
        <f>Vragen!CN41</f>
        <v>2</v>
      </c>
      <c r="D74" s="6">
        <f>Vragen!CO41</f>
        <v>4</v>
      </c>
      <c r="E74" s="6">
        <f>Vragen!$AK41*Vragen!BM41</f>
        <v>0</v>
      </c>
      <c r="F74" s="6">
        <f>Vragen!$AK41*Vragen!BN41</f>
        <v>0</v>
      </c>
      <c r="G74" s="6" t="str">
        <f>Vragen!CK41</f>
        <v>Fase 4</v>
      </c>
      <c r="H74" s="6" t="str">
        <f t="shared" si="19"/>
        <v>Fase 4</v>
      </c>
      <c r="I74" s="6">
        <v>0</v>
      </c>
    </row>
    <row r="75" spans="1:9" ht="15">
      <c r="A75" s="6" t="str">
        <f>Vragen!AF42</f>
        <v>14b</v>
      </c>
      <c r="B75" s="6">
        <f>Vragen!AK42</f>
        <v>0</v>
      </c>
      <c r="C75" s="6">
        <f>Vragen!CN42</f>
        <v>1</v>
      </c>
      <c r="D75" s="6">
        <f>Vragen!CO42</f>
        <v>4</v>
      </c>
      <c r="E75" s="6">
        <f>Vragen!$AK42*Vragen!BM42</f>
        <v>0</v>
      </c>
      <c r="F75" s="6">
        <f>Vragen!$AK42*Vragen!BN42</f>
        <v>0</v>
      </c>
      <c r="G75" s="6" t="str">
        <f>Vragen!CK42</f>
        <v>Fase 4</v>
      </c>
      <c r="H75" s="6" t="str">
        <f t="shared" si="19"/>
        <v/>
      </c>
      <c r="I75" s="6">
        <v>0</v>
      </c>
    </row>
    <row r="76" spans="1:9" ht="15">
      <c r="A76" s="6" t="str">
        <f>Vragen!AF43</f>
        <v>14c</v>
      </c>
      <c r="B76" s="6">
        <f>Vragen!AK43</f>
        <v>0</v>
      </c>
      <c r="C76" s="6">
        <f>Vragen!CN43</f>
        <v>2</v>
      </c>
      <c r="D76" s="6">
        <f>Vragen!CO43</f>
        <v>4</v>
      </c>
      <c r="E76" s="6">
        <f>Vragen!$AK43*Vragen!BM43</f>
        <v>0</v>
      </c>
      <c r="F76" s="6">
        <f>Vragen!$AK43*Vragen!BN43</f>
        <v>0</v>
      </c>
      <c r="G76" s="6" t="str">
        <f>Vragen!CK43</f>
        <v>Fase 4</v>
      </c>
      <c r="H76" s="6" t="str">
        <f t="shared" si="19"/>
        <v/>
      </c>
      <c r="I76" s="6">
        <v>0</v>
      </c>
    </row>
    <row r="77" spans="1:9" ht="15">
      <c r="A77" s="6" t="str">
        <f>Vragen!AF44</f>
        <v>14d</v>
      </c>
      <c r="B77" s="6">
        <f>Vragen!AK44</f>
        <v>0</v>
      </c>
      <c r="C77" s="6">
        <f>Vragen!CN44</f>
        <v>1</v>
      </c>
      <c r="D77" s="6">
        <f>Vragen!CO44</f>
        <v>4</v>
      </c>
      <c r="E77" s="6">
        <f>Vragen!$AK44*Vragen!BM44</f>
        <v>0</v>
      </c>
      <c r="F77" s="6">
        <f>Vragen!$AK44*Vragen!BN44</f>
        <v>0</v>
      </c>
      <c r="G77" s="6" t="str">
        <f>Vragen!CK44</f>
        <v>Fase 4</v>
      </c>
      <c r="H77" s="6" t="str">
        <f t="shared" si="19"/>
        <v/>
      </c>
      <c r="I77" s="6">
        <v>0</v>
      </c>
    </row>
    <row r="78" spans="1:9" ht="15">
      <c r="A78" s="6" t="str">
        <f>Vragen!AF45</f>
        <v>14e</v>
      </c>
      <c r="B78" s="6">
        <f>Vragen!AK45</f>
        <v>0</v>
      </c>
      <c r="C78" s="6">
        <f>Vragen!CN45</f>
        <v>2</v>
      </c>
      <c r="D78" s="6">
        <f>Vragen!CO45</f>
        <v>4</v>
      </c>
      <c r="E78" s="6">
        <f>Vragen!$AK45*Vragen!BM45</f>
        <v>0</v>
      </c>
      <c r="F78" s="6">
        <f>Vragen!$AK45*Vragen!BN45</f>
        <v>0</v>
      </c>
      <c r="G78" s="6" t="str">
        <f>Vragen!CK45</f>
        <v>Fase 4</v>
      </c>
      <c r="H78" s="6" t="str">
        <f t="shared" si="19"/>
        <v/>
      </c>
      <c r="I78" s="6">
        <v>0</v>
      </c>
    </row>
    <row r="79" spans="1:9" ht="15">
      <c r="A79" s="6" t="str">
        <f>Vragen!AF46</f>
        <v>15a</v>
      </c>
      <c r="B79" s="6">
        <f>Vragen!AK46</f>
        <v>0</v>
      </c>
      <c r="C79" s="6">
        <f>Vragen!CN46</f>
        <v>2</v>
      </c>
      <c r="D79" s="6">
        <f>Vragen!CO46</f>
        <v>4</v>
      </c>
      <c r="E79" s="6">
        <f>Vragen!$AK46*Vragen!BM46</f>
        <v>0</v>
      </c>
      <c r="F79" s="6">
        <f>Vragen!$AK46*Vragen!BN46</f>
        <v>0</v>
      </c>
      <c r="G79" s="6" t="str">
        <f>Vragen!CK46</f>
        <v>Fase 4</v>
      </c>
      <c r="H79" s="6" t="str">
        <f t="shared" si="19"/>
        <v/>
      </c>
      <c r="I79" s="6">
        <v>0</v>
      </c>
    </row>
    <row r="80" spans="1:9" ht="15">
      <c r="A80" s="6" t="str">
        <f>Vragen!AF47</f>
        <v>15b</v>
      </c>
      <c r="B80" s="6">
        <f>Vragen!AK47</f>
        <v>0</v>
      </c>
      <c r="C80" s="6">
        <f>Vragen!CN47</f>
        <v>2</v>
      </c>
      <c r="D80" s="6">
        <f>Vragen!CO47</f>
        <v>4</v>
      </c>
      <c r="E80" s="6">
        <f>Vragen!$AK47*Vragen!BM47</f>
        <v>0</v>
      </c>
      <c r="F80" s="6">
        <f>Vragen!$AK47*Vragen!BN47</f>
        <v>0</v>
      </c>
      <c r="G80" s="6" t="str">
        <f>Vragen!CK47</f>
        <v>Fase 4</v>
      </c>
      <c r="H80" s="6" t="str">
        <f t="shared" si="19"/>
        <v/>
      </c>
      <c r="I80" s="6">
        <v>0</v>
      </c>
    </row>
    <row r="81" spans="1:9" ht="15">
      <c r="A81" s="6" t="str">
        <f>Vragen!AF48</f>
        <v>15c</v>
      </c>
      <c r="B81" s="6">
        <f>Vragen!AK48</f>
        <v>0</v>
      </c>
      <c r="C81" s="6">
        <f>Vragen!CN48</f>
        <v>2</v>
      </c>
      <c r="D81" s="6">
        <f>Vragen!CO48</f>
        <v>4</v>
      </c>
      <c r="E81" s="6">
        <f>Vragen!$AK48*Vragen!BM48</f>
        <v>0</v>
      </c>
      <c r="F81" s="6">
        <f>Vragen!$AK48*Vragen!BN48</f>
        <v>0</v>
      </c>
      <c r="G81" s="6" t="str">
        <f>Vragen!CK48</f>
        <v>Fase 4</v>
      </c>
      <c r="H81" s="6" t="str">
        <f t="shared" si="19"/>
        <v/>
      </c>
      <c r="I81" s="6">
        <v>0</v>
      </c>
    </row>
    <row r="82" spans="1:9" ht="15">
      <c r="A82" s="6" t="str">
        <f>Vragen!AF49</f>
        <v>16a</v>
      </c>
      <c r="B82" s="6">
        <f>Vragen!AK49</f>
        <v>0</v>
      </c>
      <c r="C82" s="6">
        <f>Vragen!CN49</f>
        <v>3</v>
      </c>
      <c r="D82" s="6">
        <f>Vragen!CO49</f>
        <v>4</v>
      </c>
      <c r="E82" s="6">
        <f>Vragen!$AK49*Vragen!BM49</f>
        <v>0</v>
      </c>
      <c r="F82" s="6">
        <f>Vragen!$AK49*Vragen!BN49</f>
        <v>0</v>
      </c>
      <c r="G82" s="6" t="str">
        <f>Vragen!CK49</f>
        <v>Fase 5</v>
      </c>
      <c r="H82" s="6" t="str">
        <f t="shared" si="19"/>
        <v>Fase 5</v>
      </c>
      <c r="I82" s="6">
        <v>0</v>
      </c>
    </row>
    <row r="83" spans="1:9" ht="15">
      <c r="A83" s="6" t="str">
        <f>Vragen!AF50</f>
        <v>16b</v>
      </c>
      <c r="B83" s="6">
        <f>Vragen!AK50</f>
        <v>0</v>
      </c>
      <c r="C83" s="6">
        <f>Vragen!CN50</f>
        <v>1</v>
      </c>
      <c r="D83" s="6">
        <f>Vragen!CO50</f>
        <v>4</v>
      </c>
      <c r="E83" s="6">
        <f>Vragen!$AK50*Vragen!BM50</f>
        <v>0</v>
      </c>
      <c r="F83" s="6">
        <f>Vragen!$AK50*Vragen!BN50</f>
        <v>0</v>
      </c>
      <c r="G83" s="6" t="str">
        <f>Vragen!CK50</f>
        <v>Fase 5</v>
      </c>
      <c r="H83" s="6" t="str">
        <f t="shared" si="19"/>
        <v/>
      </c>
      <c r="I83" s="6">
        <v>0</v>
      </c>
    </row>
    <row r="84" spans="1:9" ht="15">
      <c r="A84" s="6" t="str">
        <f>Vragen!AF51</f>
        <v>16c</v>
      </c>
      <c r="B84" s="6">
        <f>Vragen!AK51</f>
        <v>0</v>
      </c>
      <c r="C84" s="6">
        <f>Vragen!CN51</f>
        <v>3</v>
      </c>
      <c r="D84" s="6">
        <f>Vragen!CO51</f>
        <v>4</v>
      </c>
      <c r="E84" s="6">
        <f>Vragen!$AK51*Vragen!BM51</f>
        <v>0</v>
      </c>
      <c r="F84" s="6">
        <f>Vragen!$AK51*Vragen!BN51</f>
        <v>0</v>
      </c>
      <c r="G84" s="6" t="str">
        <f>Vragen!CK51</f>
        <v>Fase 5</v>
      </c>
      <c r="H84" s="6" t="str">
        <f t="shared" si="19"/>
        <v/>
      </c>
      <c r="I84" s="6">
        <v>0</v>
      </c>
    </row>
    <row r="85" spans="1:9" ht="15">
      <c r="A85" s="6" t="str">
        <f>Vragen!AF52</f>
        <v>16d</v>
      </c>
      <c r="B85" s="6">
        <f>Vragen!AK52</f>
        <v>0</v>
      </c>
      <c r="C85" s="6">
        <f>Vragen!CN52</f>
        <v>3</v>
      </c>
      <c r="D85" s="6">
        <f>Vragen!CO52</f>
        <v>4</v>
      </c>
      <c r="E85" s="6">
        <f>Vragen!$AK52*Vragen!BM52</f>
        <v>0</v>
      </c>
      <c r="F85" s="6">
        <f>Vragen!$AK52*Vragen!BN52</f>
        <v>0</v>
      </c>
      <c r="G85" s="6" t="str">
        <f>Vragen!CK52</f>
        <v>Fase 5</v>
      </c>
      <c r="H85" s="6" t="str">
        <f t="shared" si="19"/>
        <v/>
      </c>
      <c r="I85" s="6">
        <v>0</v>
      </c>
    </row>
    <row r="86" spans="1:9" ht="15">
      <c r="A86" s="6" t="str">
        <f>Vragen!AF53</f>
        <v>17a</v>
      </c>
      <c r="B86" s="6">
        <f>Vragen!AK53</f>
        <v>0</v>
      </c>
      <c r="C86" s="6">
        <f>Vragen!CN53</f>
        <v>3</v>
      </c>
      <c r="D86" s="6">
        <f>Vragen!CO53</f>
        <v>4</v>
      </c>
      <c r="E86" s="6">
        <f>Vragen!$AK53*Vragen!BM53</f>
        <v>0</v>
      </c>
      <c r="F86" s="6">
        <f>Vragen!$AK53*Vragen!BN53</f>
        <v>0</v>
      </c>
      <c r="G86" s="6" t="str">
        <f>Vragen!CK53</f>
        <v>Fase 6</v>
      </c>
      <c r="H86" s="6" t="str">
        <f t="shared" si="19"/>
        <v>Fase 6</v>
      </c>
      <c r="I86" s="6">
        <v>0</v>
      </c>
    </row>
    <row r="87" spans="1:9" ht="15">
      <c r="A87" s="6" t="str">
        <f>Vragen!AF54</f>
        <v>17b</v>
      </c>
      <c r="B87" s="6">
        <f>Vragen!AK54</f>
        <v>0</v>
      </c>
      <c r="C87" s="6">
        <f>Vragen!CN54</f>
        <v>2</v>
      </c>
      <c r="D87" s="6">
        <f>Vragen!CO54</f>
        <v>4</v>
      </c>
      <c r="E87" s="6">
        <f>Vragen!$AK54*Vragen!BM54</f>
        <v>0</v>
      </c>
      <c r="F87" s="6">
        <f>Vragen!$AK54*Vragen!BN54</f>
        <v>0</v>
      </c>
      <c r="G87" s="6" t="str">
        <f>Vragen!CK54</f>
        <v>Fase 6</v>
      </c>
      <c r="H87" s="6" t="str">
        <f t="shared" si="19"/>
        <v/>
      </c>
      <c r="I87" s="6">
        <v>0</v>
      </c>
    </row>
    <row r="88" spans="1:9" ht="15">
      <c r="A88" s="6" t="str">
        <f>Vragen!AF55</f>
        <v>18a</v>
      </c>
      <c r="B88" s="6">
        <f>Vragen!AK55</f>
        <v>0</v>
      </c>
      <c r="C88" s="6">
        <f>Vragen!CN55</f>
        <v>2</v>
      </c>
      <c r="D88" s="6">
        <f>Vragen!CO55</f>
        <v>4</v>
      </c>
      <c r="E88" s="6">
        <f>Vragen!$AK55*Vragen!BM55</f>
        <v>0</v>
      </c>
      <c r="F88" s="6">
        <f>Vragen!$AK55*Vragen!BN55</f>
        <v>0</v>
      </c>
      <c r="G88" s="6" t="str">
        <f>Vragen!CK55</f>
        <v>Fase 7</v>
      </c>
      <c r="H88" s="6" t="str">
        <f t="shared" si="19"/>
        <v>Fase 7</v>
      </c>
      <c r="I88" s="6">
        <v>0</v>
      </c>
    </row>
    <row r="89" spans="1:9" ht="15">
      <c r="A89" s="6" t="str">
        <f>Vragen!AF56</f>
        <v>18b</v>
      </c>
      <c r="B89" s="6">
        <f>Vragen!AK56</f>
        <v>0</v>
      </c>
      <c r="C89" s="6">
        <f>Vragen!CN56</f>
        <v>3</v>
      </c>
      <c r="D89" s="6">
        <f>Vragen!CO56</f>
        <v>4</v>
      </c>
      <c r="E89" s="6">
        <f>Vragen!$AK56*Vragen!BM56</f>
        <v>0</v>
      </c>
      <c r="F89" s="6">
        <f>Vragen!$AK56*Vragen!BN56</f>
        <v>0</v>
      </c>
      <c r="G89" s="6" t="str">
        <f>Vragen!CK56</f>
        <v>Fase 7</v>
      </c>
      <c r="H89" s="6" t="str">
        <f t="shared" si="19"/>
        <v/>
      </c>
      <c r="I89" s="6">
        <v>0</v>
      </c>
    </row>
    <row r="90" ht="15">
      <c r="A90" s="6"/>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53"/>
  <sheetViews>
    <sheetView showGridLines="0" workbookViewId="0" topLeftCell="A1">
      <pane ySplit="2" topLeftCell="A20" activePane="bottomLeft" state="frozen"/>
      <selection pane="topLeft" activeCell="E1" sqref="E1"/>
      <selection pane="bottomLeft" activeCell="AA44" sqref="AA44"/>
    </sheetView>
  </sheetViews>
  <sheetFormatPr defaultColWidth="9.140625" defaultRowHeight="15"/>
  <cols>
    <col min="5" max="8" width="9.140625" style="6" customWidth="1"/>
    <col min="17" max="17" width="9.140625" style="6" customWidth="1"/>
    <col min="25" max="28" width="9.140625" style="6" customWidth="1"/>
    <col min="30" max="34" width="9.140625" style="6" customWidth="1"/>
  </cols>
  <sheetData>
    <row r="1" spans="2:36" s="6" customFormat="1" ht="15">
      <c r="B1" s="6" t="s">
        <v>493</v>
      </c>
      <c r="F1" s="6" t="s">
        <v>621</v>
      </c>
      <c r="J1" s="6" t="s">
        <v>492</v>
      </c>
      <c r="M1" s="6" t="s">
        <v>494</v>
      </c>
      <c r="R1" s="6" t="s">
        <v>490</v>
      </c>
      <c r="V1" s="6" t="s">
        <v>485</v>
      </c>
      <c r="Z1" s="6" t="s">
        <v>631</v>
      </c>
      <c r="AC1" s="6" t="s">
        <v>563</v>
      </c>
      <c r="AI1" s="6" t="s">
        <v>486</v>
      </c>
      <c r="AJ1" s="6" t="str">
        <f>profiel_gekozen</f>
        <v>Meedenker</v>
      </c>
    </row>
    <row r="2" spans="1:36" ht="15">
      <c r="A2" t="s">
        <v>340</v>
      </c>
      <c r="B2" t="str">
        <f>lbl_uitvoerder</f>
        <v>Uitvoerder</v>
      </c>
      <c r="C2" t="str">
        <f>lbl_meedenker</f>
        <v>Meedenker</v>
      </c>
      <c r="D2" t="str">
        <f>lbl_adviseur</f>
        <v>Adviseur</v>
      </c>
      <c r="E2" s="6" t="str">
        <f>$A$2</f>
        <v>vraag</v>
      </c>
      <c r="F2" s="6" t="str">
        <f>lbl_uitvoerder</f>
        <v>Uitvoerder</v>
      </c>
      <c r="G2" s="6" t="str">
        <f>lbl_meedenker</f>
        <v>Meedenker</v>
      </c>
      <c r="H2" s="6" t="str">
        <f>lbl_adviseur</f>
        <v>Adviseur</v>
      </c>
      <c r="I2" s="6" t="str">
        <f>$A$2</f>
        <v>vraag</v>
      </c>
      <c r="J2" s="6" t="str">
        <f>lbl_uitvoerder</f>
        <v>Uitvoerder</v>
      </c>
      <c r="K2" s="6" t="str">
        <f>lbl_meedenker</f>
        <v>Meedenker</v>
      </c>
      <c r="L2" s="6" t="str">
        <f>lbl_adviseur</f>
        <v>Adviseur</v>
      </c>
      <c r="M2" s="6" t="str">
        <f>$A$2</f>
        <v>vraag</v>
      </c>
      <c r="N2" s="6" t="str">
        <f>lbl_uitvoerder</f>
        <v>Uitvoerder</v>
      </c>
      <c r="O2" s="6" t="str">
        <f>lbl_meedenker</f>
        <v>Meedenker</v>
      </c>
      <c r="P2" s="6" t="str">
        <f>lbl_adviseur</f>
        <v>Adviseur</v>
      </c>
      <c r="Q2" s="6" t="str">
        <f>$A$2</f>
        <v>vraag</v>
      </c>
      <c r="R2" s="6" t="str">
        <f>lbl_uitvoerder</f>
        <v>Uitvoerder</v>
      </c>
      <c r="S2" s="6" t="str">
        <f>lbl_meedenker</f>
        <v>Meedenker</v>
      </c>
      <c r="T2" s="6" t="str">
        <f>lbl_adviseur</f>
        <v>Adviseur</v>
      </c>
      <c r="U2" s="6" t="str">
        <f>$A$2</f>
        <v>vraag</v>
      </c>
      <c r="V2" s="6" t="str">
        <f>lbl_uitvoerder</f>
        <v>Uitvoerder</v>
      </c>
      <c r="W2" s="6" t="str">
        <f>lbl_meedenker</f>
        <v>Meedenker</v>
      </c>
      <c r="X2" s="6" t="str">
        <f>lbl_adviseur</f>
        <v>Adviseur</v>
      </c>
      <c r="Y2" s="6" t="str">
        <f>$A$2</f>
        <v>vraag</v>
      </c>
      <c r="Z2" s="6" t="str">
        <f>lbl_uitvoerder</f>
        <v>Uitvoerder</v>
      </c>
      <c r="AA2" s="6" t="str">
        <f>lbl_meedenker</f>
        <v>Meedenker</v>
      </c>
      <c r="AB2" s="6" t="str">
        <f>lbl_adviseur</f>
        <v>Adviseur</v>
      </c>
      <c r="AC2" s="6" t="str">
        <f>$A$2</f>
        <v>vraag</v>
      </c>
      <c r="AD2" s="6" t="str">
        <f>lbl_uitvoerder</f>
        <v>Uitvoerder</v>
      </c>
      <c r="AE2" s="6" t="str">
        <f>lbl_meedenker</f>
        <v>Meedenker</v>
      </c>
      <c r="AF2" s="6" t="str">
        <f>lbl_adviseur</f>
        <v>Adviseur</v>
      </c>
      <c r="AI2" t="s">
        <v>487</v>
      </c>
      <c r="AJ2">
        <f>MAX(1+SUMIF(vragen_uma,AJ1,vragen_uma_kolom),2)</f>
        <v>3</v>
      </c>
    </row>
    <row r="3" spans="1:33" ht="15">
      <c r="A3" s="19" t="s">
        <v>436</v>
      </c>
      <c r="B3" s="6" t="b">
        <v>0</v>
      </c>
      <c r="C3" s="6" t="b">
        <v>0</v>
      </c>
      <c r="D3" s="6" t="b">
        <v>0</v>
      </c>
      <c r="E3" s="6" t="str">
        <f>$A3</f>
        <v>1a</v>
      </c>
      <c r="F3" s="6" t="b">
        <v>0</v>
      </c>
      <c r="G3" s="6" t="b">
        <v>0</v>
      </c>
      <c r="H3" s="6" t="b">
        <v>0</v>
      </c>
      <c r="I3" s="6" t="str">
        <f>$A3</f>
        <v>1a</v>
      </c>
      <c r="J3" s="6" t="b">
        <v>0</v>
      </c>
      <c r="K3" s="6" t="b">
        <v>1</v>
      </c>
      <c r="L3" s="6" t="b">
        <v>1</v>
      </c>
      <c r="M3" s="6" t="str">
        <f>$A3</f>
        <v>1a</v>
      </c>
      <c r="N3" t="b">
        <v>1</v>
      </c>
      <c r="O3" t="b">
        <v>0</v>
      </c>
      <c r="P3" s="6" t="b">
        <v>0</v>
      </c>
      <c r="Q3" s="6" t="str">
        <f>$A3</f>
        <v>1a</v>
      </c>
      <c r="R3" s="20">
        <f aca="true" t="shared" si="0" ref="R3:R34">IF(B3,scores_must,IF(N3,scores_gewoon_1,IF(J3,scores_gewoon,IF(F3,scores_must_tijdelijk,IF(Z3,scores_ontwikkel,"")))))</f>
        <v>1234</v>
      </c>
      <c r="S3" s="20">
        <f aca="true" t="shared" si="1" ref="S3:S34">IF(C3,scores_must,IF(O3,scores_gewoon_1,IF(K3,scores_gewoon,IF(G3,scores_must_tijdelijk,IF(AA3,scores_ontwikkel,"")))))</f>
        <v>234</v>
      </c>
      <c r="T3" s="20">
        <f aca="true" t="shared" si="2" ref="T3:T34">IF(D3,scores_must,IF(P3,scores_gewoon_1,IF(L3,scores_gewoon,IF(H3,scores_must_tijdelijk,IF(AB3,scores_ontwikkel,"")))))</f>
        <v>234</v>
      </c>
      <c r="U3" s="6" t="str">
        <f>$A3</f>
        <v>1a</v>
      </c>
      <c r="V3" s="6" t="b">
        <v>1</v>
      </c>
      <c r="W3" s="6" t="b">
        <v>1</v>
      </c>
      <c r="X3" s="6" t="b">
        <v>1</v>
      </c>
      <c r="Y3" s="6" t="str">
        <f aca="true" t="shared" si="3" ref="Y3:Y53">$A3</f>
        <v>1a</v>
      </c>
      <c r="Z3" s="6" t="b">
        <v>0</v>
      </c>
      <c r="AA3" s="6" t="b">
        <v>0</v>
      </c>
      <c r="AB3" s="6" t="b">
        <v>0</v>
      </c>
      <c r="AC3" s="6" t="str">
        <f>$A3</f>
        <v>1a</v>
      </c>
      <c r="AD3" s="6">
        <v>0</v>
      </c>
      <c r="AG3" s="6">
        <v>0</v>
      </c>
    </row>
    <row r="4" spans="1:33" ht="15">
      <c r="A4" s="19" t="s">
        <v>437</v>
      </c>
      <c r="B4" s="6" t="b">
        <v>0</v>
      </c>
      <c r="C4" s="6" t="b">
        <v>0</v>
      </c>
      <c r="D4" s="6" t="b">
        <v>0</v>
      </c>
      <c r="E4" s="6" t="str">
        <f aca="true" t="shared" si="4" ref="E4:E53">$A4</f>
        <v>1b</v>
      </c>
      <c r="F4" s="6" t="b">
        <v>0</v>
      </c>
      <c r="G4" s="6" t="b">
        <v>0</v>
      </c>
      <c r="H4" s="6" t="b">
        <v>0</v>
      </c>
      <c r="I4" s="6" t="str">
        <f aca="true" t="shared" si="5" ref="I4:I53">$A4</f>
        <v>1b</v>
      </c>
      <c r="J4" s="6" t="b">
        <v>0</v>
      </c>
      <c r="K4" s="6" t="b">
        <v>1</v>
      </c>
      <c r="L4" s="6" t="b">
        <v>1</v>
      </c>
      <c r="M4" s="6" t="str">
        <f aca="true" t="shared" si="6" ref="M4:M53">$A4</f>
        <v>1b</v>
      </c>
      <c r="N4" s="6" t="b">
        <v>1</v>
      </c>
      <c r="O4" s="6" t="b">
        <v>0</v>
      </c>
      <c r="P4" s="6" t="b">
        <v>0</v>
      </c>
      <c r="Q4" s="6" t="str">
        <f aca="true" t="shared" si="7" ref="Q4:Q53">$A4</f>
        <v>1b</v>
      </c>
      <c r="R4" s="20">
        <f t="shared" si="0"/>
        <v>1234</v>
      </c>
      <c r="S4" s="20">
        <f t="shared" si="1"/>
        <v>234</v>
      </c>
      <c r="T4" s="20">
        <f t="shared" si="2"/>
        <v>234</v>
      </c>
      <c r="U4" s="6" t="str">
        <f aca="true" t="shared" si="8" ref="U4:U53">$A4</f>
        <v>1b</v>
      </c>
      <c r="V4" s="6" t="b">
        <v>1</v>
      </c>
      <c r="W4" s="6" t="b">
        <v>1</v>
      </c>
      <c r="X4" s="6" t="b">
        <v>1</v>
      </c>
      <c r="Y4" s="6" t="str">
        <f t="shared" si="3"/>
        <v>1b</v>
      </c>
      <c r="Z4" s="6" t="b">
        <v>0</v>
      </c>
      <c r="AA4" s="6" t="b">
        <v>0</v>
      </c>
      <c r="AB4" s="6" t="b">
        <v>0</v>
      </c>
      <c r="AC4" s="6" t="str">
        <f aca="true" t="shared" si="9" ref="AC4:AC53">$A4</f>
        <v>1b</v>
      </c>
      <c r="AD4" s="6">
        <f aca="true" t="shared" si="10" ref="AD4:AD42">IF(AND(V4,NOT(V3)),AG4,0)</f>
        <v>0</v>
      </c>
      <c r="AG4" s="6">
        <v>0</v>
      </c>
    </row>
    <row r="5" spans="1:33" ht="15">
      <c r="A5" s="19" t="s">
        <v>438</v>
      </c>
      <c r="B5" s="6" t="b">
        <v>0</v>
      </c>
      <c r="C5" s="6" t="b">
        <v>0</v>
      </c>
      <c r="D5" s="6" t="b">
        <v>0</v>
      </c>
      <c r="E5" s="6" t="str">
        <f t="shared" si="4"/>
        <v>2a</v>
      </c>
      <c r="F5" s="6" t="b">
        <v>0</v>
      </c>
      <c r="G5" s="6" t="b">
        <v>0</v>
      </c>
      <c r="H5" s="6" t="b">
        <v>1</v>
      </c>
      <c r="I5" s="6" t="str">
        <f t="shared" si="5"/>
        <v>2a</v>
      </c>
      <c r="J5" s="6" t="b">
        <v>0</v>
      </c>
      <c r="K5" s="6" t="b">
        <v>1</v>
      </c>
      <c r="L5" s="6" t="b">
        <v>0</v>
      </c>
      <c r="M5" s="6" t="str">
        <f t="shared" si="6"/>
        <v>2a</v>
      </c>
      <c r="N5" s="6" t="b">
        <v>1</v>
      </c>
      <c r="O5" s="6" t="b">
        <v>0</v>
      </c>
      <c r="P5" s="6" t="b">
        <v>0</v>
      </c>
      <c r="Q5" s="6" t="str">
        <f t="shared" si="7"/>
        <v>2a</v>
      </c>
      <c r="R5" s="20">
        <f t="shared" si="0"/>
        <v>1234</v>
      </c>
      <c r="S5" s="20">
        <f t="shared" si="1"/>
        <v>234</v>
      </c>
      <c r="T5" s="20">
        <f t="shared" si="2"/>
        <v>234</v>
      </c>
      <c r="U5" s="6" t="str">
        <f t="shared" si="8"/>
        <v>2a</v>
      </c>
      <c r="V5" s="6" t="b">
        <v>1</v>
      </c>
      <c r="W5" s="6" t="b">
        <v>1</v>
      </c>
      <c r="X5" s="6" t="b">
        <v>1</v>
      </c>
      <c r="Y5" s="6" t="str">
        <f t="shared" si="3"/>
        <v>2a</v>
      </c>
      <c r="Z5" s="6" t="b">
        <v>0</v>
      </c>
      <c r="AA5" s="6" t="b">
        <v>0</v>
      </c>
      <c r="AB5" s="6" t="b">
        <v>0</v>
      </c>
      <c r="AC5" s="6" t="str">
        <f t="shared" si="9"/>
        <v>2a</v>
      </c>
      <c r="AD5" s="6">
        <f t="shared" si="10"/>
        <v>0</v>
      </c>
      <c r="AG5" s="6">
        <v>0</v>
      </c>
    </row>
    <row r="6" spans="1:33" ht="15">
      <c r="A6" s="19" t="s">
        <v>439</v>
      </c>
      <c r="B6" s="6" t="b">
        <v>0</v>
      </c>
      <c r="C6" s="6" t="b">
        <v>1</v>
      </c>
      <c r="D6" s="6" t="b">
        <v>1</v>
      </c>
      <c r="E6" s="6" t="str">
        <f t="shared" si="4"/>
        <v>2b</v>
      </c>
      <c r="F6" s="6" t="b">
        <v>0</v>
      </c>
      <c r="G6" s="6" t="b">
        <v>0</v>
      </c>
      <c r="H6" s="6" t="b">
        <v>0</v>
      </c>
      <c r="I6" s="6" t="str">
        <f t="shared" si="5"/>
        <v>2b</v>
      </c>
      <c r="J6" s="6" t="b">
        <v>0</v>
      </c>
      <c r="K6" s="6" t="b">
        <v>0</v>
      </c>
      <c r="L6" s="6" t="b">
        <v>0</v>
      </c>
      <c r="M6" s="6" t="str">
        <f t="shared" si="6"/>
        <v>2b</v>
      </c>
      <c r="N6" s="6" t="b">
        <v>1</v>
      </c>
      <c r="O6" s="6" t="b">
        <v>0</v>
      </c>
      <c r="P6" s="6" t="b">
        <v>0</v>
      </c>
      <c r="Q6" s="6" t="str">
        <f t="shared" si="7"/>
        <v>2b</v>
      </c>
      <c r="R6" s="20">
        <f t="shared" si="0"/>
        <v>1234</v>
      </c>
      <c r="S6" s="20">
        <f t="shared" si="1"/>
        <v>34</v>
      </c>
      <c r="T6" s="20">
        <f t="shared" si="2"/>
        <v>34</v>
      </c>
      <c r="U6" s="6" t="str">
        <f t="shared" si="8"/>
        <v>2b</v>
      </c>
      <c r="V6" s="6" t="b">
        <v>1</v>
      </c>
      <c r="W6" s="6" t="b">
        <v>1</v>
      </c>
      <c r="X6" s="6" t="b">
        <v>1</v>
      </c>
      <c r="Y6" s="6" t="str">
        <f t="shared" si="3"/>
        <v>2b</v>
      </c>
      <c r="Z6" s="6" t="b">
        <v>0</v>
      </c>
      <c r="AA6" s="6" t="b">
        <v>0</v>
      </c>
      <c r="AB6" s="6" t="b">
        <v>0</v>
      </c>
      <c r="AC6" s="6" t="str">
        <f t="shared" si="9"/>
        <v>2b</v>
      </c>
      <c r="AD6" s="6">
        <f t="shared" si="10"/>
        <v>0</v>
      </c>
      <c r="AG6" s="6">
        <v>0</v>
      </c>
    </row>
    <row r="7" spans="1:33" ht="15">
      <c r="A7" s="19" t="s">
        <v>440</v>
      </c>
      <c r="B7" s="6" t="b">
        <v>0</v>
      </c>
      <c r="C7" s="6" t="b">
        <v>0</v>
      </c>
      <c r="D7" s="6" t="b">
        <v>0</v>
      </c>
      <c r="E7" s="6" t="str">
        <f t="shared" si="4"/>
        <v>2c</v>
      </c>
      <c r="F7" s="6" t="b">
        <v>0</v>
      </c>
      <c r="G7" s="6" t="b">
        <v>0</v>
      </c>
      <c r="H7" s="6" t="b">
        <v>0</v>
      </c>
      <c r="I7" s="6" t="str">
        <f t="shared" si="5"/>
        <v>2c</v>
      </c>
      <c r="J7" s="6" t="b">
        <v>0</v>
      </c>
      <c r="K7" s="6" t="b">
        <v>1</v>
      </c>
      <c r="L7" s="6" t="b">
        <v>1</v>
      </c>
      <c r="M7" s="6" t="str">
        <f t="shared" si="6"/>
        <v>2c</v>
      </c>
      <c r="N7" s="6" t="b">
        <v>1</v>
      </c>
      <c r="O7" s="6" t="b">
        <v>0</v>
      </c>
      <c r="P7" s="6" t="b">
        <v>0</v>
      </c>
      <c r="Q7" s="6" t="str">
        <f t="shared" si="7"/>
        <v>2c</v>
      </c>
      <c r="R7" s="20">
        <f t="shared" si="0"/>
        <v>1234</v>
      </c>
      <c r="S7" s="20">
        <f t="shared" si="1"/>
        <v>234</v>
      </c>
      <c r="T7" s="20">
        <f t="shared" si="2"/>
        <v>234</v>
      </c>
      <c r="U7" s="6" t="str">
        <f t="shared" si="8"/>
        <v>2c</v>
      </c>
      <c r="V7" s="6" t="b">
        <v>1</v>
      </c>
      <c r="W7" s="6" t="b">
        <v>1</v>
      </c>
      <c r="X7" s="6" t="b">
        <v>1</v>
      </c>
      <c r="Y7" s="6" t="str">
        <f t="shared" si="3"/>
        <v>2c</v>
      </c>
      <c r="Z7" s="6" t="b">
        <v>0</v>
      </c>
      <c r="AA7" s="6" t="b">
        <v>0</v>
      </c>
      <c r="AB7" s="6" t="b">
        <v>0</v>
      </c>
      <c r="AC7" s="6" t="str">
        <f t="shared" si="9"/>
        <v>2c</v>
      </c>
      <c r="AD7" s="6">
        <f t="shared" si="10"/>
        <v>0</v>
      </c>
      <c r="AG7" s="6">
        <v>0</v>
      </c>
    </row>
    <row r="8" spans="1:33" ht="15">
      <c r="A8" s="19" t="s">
        <v>441</v>
      </c>
      <c r="B8" s="6" t="b">
        <v>0</v>
      </c>
      <c r="C8" s="6" t="b">
        <v>0</v>
      </c>
      <c r="D8" s="6" t="b">
        <v>0</v>
      </c>
      <c r="E8" s="6" t="str">
        <f t="shared" si="4"/>
        <v>3a</v>
      </c>
      <c r="F8" s="6" t="b">
        <v>0</v>
      </c>
      <c r="G8" s="6" t="b">
        <v>0</v>
      </c>
      <c r="H8" s="6" t="b">
        <v>0</v>
      </c>
      <c r="I8" s="6" t="str">
        <f t="shared" si="5"/>
        <v>3a</v>
      </c>
      <c r="J8" s="6" t="b">
        <v>0</v>
      </c>
      <c r="K8" s="6" t="b">
        <v>1</v>
      </c>
      <c r="L8" s="6" t="b">
        <v>1</v>
      </c>
      <c r="M8" s="6" t="str">
        <f t="shared" si="6"/>
        <v>3a</v>
      </c>
      <c r="N8" s="6" t="b">
        <v>1</v>
      </c>
      <c r="O8" s="6" t="b">
        <v>0</v>
      </c>
      <c r="P8" s="6" t="b">
        <v>0</v>
      </c>
      <c r="Q8" s="6" t="str">
        <f t="shared" si="7"/>
        <v>3a</v>
      </c>
      <c r="R8" s="20">
        <f t="shared" si="0"/>
        <v>1234</v>
      </c>
      <c r="S8" s="20">
        <f t="shared" si="1"/>
        <v>234</v>
      </c>
      <c r="T8" s="20">
        <f t="shared" si="2"/>
        <v>234</v>
      </c>
      <c r="U8" s="6" t="str">
        <f t="shared" si="8"/>
        <v>3a</v>
      </c>
      <c r="V8" s="6" t="b">
        <v>1</v>
      </c>
      <c r="W8" s="6" t="b">
        <v>1</v>
      </c>
      <c r="X8" s="6" t="b">
        <v>1</v>
      </c>
      <c r="Y8" s="6" t="str">
        <f t="shared" si="3"/>
        <v>3a</v>
      </c>
      <c r="Z8" s="6" t="b">
        <v>0</v>
      </c>
      <c r="AA8" s="6" t="b">
        <v>0</v>
      </c>
      <c r="AB8" s="6" t="b">
        <v>0</v>
      </c>
      <c r="AC8" s="6" t="str">
        <f t="shared" si="9"/>
        <v>3a</v>
      </c>
      <c r="AD8" s="6">
        <f t="shared" si="10"/>
        <v>0</v>
      </c>
      <c r="AG8" s="6">
        <v>0</v>
      </c>
    </row>
    <row r="9" spans="1:33" ht="15">
      <c r="A9" s="19" t="s">
        <v>442</v>
      </c>
      <c r="B9" s="6" t="b">
        <v>0</v>
      </c>
      <c r="C9" s="6" t="b">
        <v>0</v>
      </c>
      <c r="D9" s="6" t="b">
        <v>0</v>
      </c>
      <c r="E9" s="6" t="str">
        <f t="shared" si="4"/>
        <v>3b</v>
      </c>
      <c r="F9" s="6" t="b">
        <v>0</v>
      </c>
      <c r="G9" s="6" t="b">
        <v>0</v>
      </c>
      <c r="H9" s="6" t="b">
        <v>0</v>
      </c>
      <c r="I9" s="6" t="str">
        <f t="shared" si="5"/>
        <v>3b</v>
      </c>
      <c r="J9" s="6" t="b">
        <v>0</v>
      </c>
      <c r="K9" s="6" t="b">
        <v>1</v>
      </c>
      <c r="L9" s="6" t="b">
        <v>1</v>
      </c>
      <c r="M9" s="6" t="str">
        <f t="shared" si="6"/>
        <v>3b</v>
      </c>
      <c r="N9" s="6" t="b">
        <v>1</v>
      </c>
      <c r="O9" s="6" t="b">
        <v>0</v>
      </c>
      <c r="P9" s="6" t="b">
        <v>0</v>
      </c>
      <c r="Q9" s="6" t="str">
        <f t="shared" si="7"/>
        <v>3b</v>
      </c>
      <c r="R9" s="20">
        <f t="shared" si="0"/>
        <v>1234</v>
      </c>
      <c r="S9" s="20">
        <f t="shared" si="1"/>
        <v>234</v>
      </c>
      <c r="T9" s="20">
        <f t="shared" si="2"/>
        <v>234</v>
      </c>
      <c r="U9" s="6" t="str">
        <f t="shared" si="8"/>
        <v>3b</v>
      </c>
      <c r="V9" s="6" t="b">
        <v>1</v>
      </c>
      <c r="W9" s="6" t="b">
        <v>1</v>
      </c>
      <c r="X9" s="6" t="b">
        <v>1</v>
      </c>
      <c r="Y9" s="6" t="str">
        <f t="shared" si="3"/>
        <v>3b</v>
      </c>
      <c r="Z9" s="6" t="b">
        <v>0</v>
      </c>
      <c r="AA9" s="6" t="b">
        <v>0</v>
      </c>
      <c r="AB9" s="6" t="b">
        <v>0</v>
      </c>
      <c r="AC9" s="6" t="str">
        <f t="shared" si="9"/>
        <v>3b</v>
      </c>
      <c r="AD9" s="6">
        <f t="shared" si="10"/>
        <v>0</v>
      </c>
      <c r="AG9" s="6">
        <v>0</v>
      </c>
    </row>
    <row r="10" spans="1:33" ht="15">
      <c r="A10" s="19" t="s">
        <v>443</v>
      </c>
      <c r="B10" s="6" t="b">
        <v>0</v>
      </c>
      <c r="C10" s="6" t="b">
        <v>0</v>
      </c>
      <c r="D10" s="6" t="b">
        <v>0</v>
      </c>
      <c r="E10" s="6" t="str">
        <f t="shared" si="4"/>
        <v>4a</v>
      </c>
      <c r="F10" s="6" t="b">
        <v>0</v>
      </c>
      <c r="G10" s="6" t="b">
        <v>0</v>
      </c>
      <c r="H10" s="6" t="b">
        <v>0</v>
      </c>
      <c r="I10" s="6" t="str">
        <f t="shared" si="5"/>
        <v>4a</v>
      </c>
      <c r="J10" s="6" t="b">
        <v>0</v>
      </c>
      <c r="K10" s="6" t="b">
        <v>1</v>
      </c>
      <c r="L10" s="6" t="b">
        <v>1</v>
      </c>
      <c r="M10" s="6" t="str">
        <f t="shared" si="6"/>
        <v>4a</v>
      </c>
      <c r="N10" s="6" t="b">
        <v>1</v>
      </c>
      <c r="O10" s="6" t="b">
        <v>0</v>
      </c>
      <c r="P10" s="6" t="b">
        <v>0</v>
      </c>
      <c r="Q10" s="6" t="str">
        <f t="shared" si="7"/>
        <v>4a</v>
      </c>
      <c r="R10" s="20">
        <f t="shared" si="0"/>
        <v>1234</v>
      </c>
      <c r="S10" s="20">
        <f t="shared" si="1"/>
        <v>234</v>
      </c>
      <c r="T10" s="20">
        <f t="shared" si="2"/>
        <v>234</v>
      </c>
      <c r="U10" s="6" t="str">
        <f t="shared" si="8"/>
        <v>4a</v>
      </c>
      <c r="V10" s="6" t="b">
        <v>1</v>
      </c>
      <c r="W10" s="6" t="b">
        <v>1</v>
      </c>
      <c r="X10" s="6" t="b">
        <v>1</v>
      </c>
      <c r="Y10" s="6" t="str">
        <f t="shared" si="3"/>
        <v>4a</v>
      </c>
      <c r="Z10" s="6" t="b">
        <v>0</v>
      </c>
      <c r="AA10" s="6" t="b">
        <v>0</v>
      </c>
      <c r="AB10" s="6" t="b">
        <v>0</v>
      </c>
      <c r="AC10" s="6" t="str">
        <f t="shared" si="9"/>
        <v>4a</v>
      </c>
      <c r="AD10" s="6">
        <f t="shared" si="10"/>
        <v>0</v>
      </c>
      <c r="AG10" s="6">
        <v>0</v>
      </c>
    </row>
    <row r="11" spans="1:33" ht="15">
      <c r="A11" s="19" t="s">
        <v>444</v>
      </c>
      <c r="B11" s="6" t="b">
        <v>0</v>
      </c>
      <c r="C11" s="6" t="b">
        <v>0</v>
      </c>
      <c r="D11" s="6" t="b">
        <v>0</v>
      </c>
      <c r="E11" s="6" t="str">
        <f t="shared" si="4"/>
        <v>4b</v>
      </c>
      <c r="F11" s="6" t="b">
        <v>0</v>
      </c>
      <c r="G11" s="6" t="b">
        <v>0</v>
      </c>
      <c r="H11" s="6" t="b">
        <v>0</v>
      </c>
      <c r="I11" s="6" t="str">
        <f t="shared" si="5"/>
        <v>4b</v>
      </c>
      <c r="J11" s="6" t="b">
        <v>0</v>
      </c>
      <c r="K11" s="6" t="b">
        <v>1</v>
      </c>
      <c r="L11" s="6" t="b">
        <v>1</v>
      </c>
      <c r="M11" s="6" t="str">
        <f t="shared" si="6"/>
        <v>4b</v>
      </c>
      <c r="N11" s="6" t="b">
        <v>1</v>
      </c>
      <c r="O11" s="6" t="b">
        <v>0</v>
      </c>
      <c r="P11" s="6" t="b">
        <v>0</v>
      </c>
      <c r="Q11" s="6" t="str">
        <f t="shared" si="7"/>
        <v>4b</v>
      </c>
      <c r="R11" s="20">
        <f t="shared" si="0"/>
        <v>1234</v>
      </c>
      <c r="S11" s="20">
        <f t="shared" si="1"/>
        <v>234</v>
      </c>
      <c r="T11" s="20">
        <f t="shared" si="2"/>
        <v>234</v>
      </c>
      <c r="U11" s="6" t="str">
        <f t="shared" si="8"/>
        <v>4b</v>
      </c>
      <c r="V11" s="6" t="b">
        <v>1</v>
      </c>
      <c r="W11" s="6" t="b">
        <v>1</v>
      </c>
      <c r="X11" s="6" t="b">
        <v>1</v>
      </c>
      <c r="Y11" s="6" t="str">
        <f t="shared" si="3"/>
        <v>4b</v>
      </c>
      <c r="Z11" s="6" t="b">
        <v>0</v>
      </c>
      <c r="AA11" s="6" t="b">
        <v>0</v>
      </c>
      <c r="AB11" s="6" t="b">
        <v>0</v>
      </c>
      <c r="AC11" s="6" t="str">
        <f t="shared" si="9"/>
        <v>4b</v>
      </c>
      <c r="AD11" s="6">
        <f t="shared" si="10"/>
        <v>0</v>
      </c>
      <c r="AG11" s="6">
        <v>0</v>
      </c>
    </row>
    <row r="12" spans="1:33" ht="15">
      <c r="A12" s="19" t="s">
        <v>445</v>
      </c>
      <c r="B12" s="6" t="b">
        <v>0</v>
      </c>
      <c r="C12" s="6" t="b">
        <v>0</v>
      </c>
      <c r="D12" s="6" t="b">
        <v>0</v>
      </c>
      <c r="E12" s="6" t="str">
        <f t="shared" si="4"/>
        <v>4c</v>
      </c>
      <c r="F12" s="6" t="b">
        <v>0</v>
      </c>
      <c r="G12" s="6" t="b">
        <v>0</v>
      </c>
      <c r="H12" s="6" t="b">
        <v>0</v>
      </c>
      <c r="I12" s="6" t="str">
        <f t="shared" si="5"/>
        <v>4c</v>
      </c>
      <c r="J12" s="6" t="b">
        <v>0</v>
      </c>
      <c r="K12" s="6" t="b">
        <v>0</v>
      </c>
      <c r="L12" s="6" t="b">
        <v>1</v>
      </c>
      <c r="M12" s="6" t="str">
        <f t="shared" si="6"/>
        <v>4c</v>
      </c>
      <c r="N12" s="6" t="b">
        <v>1</v>
      </c>
      <c r="O12" s="6" t="b">
        <v>1</v>
      </c>
      <c r="P12" s="6" t="b">
        <v>0</v>
      </c>
      <c r="Q12" s="6" t="str">
        <f t="shared" si="7"/>
        <v>4c</v>
      </c>
      <c r="R12" s="20">
        <f t="shared" si="0"/>
        <v>1234</v>
      </c>
      <c r="S12" s="20">
        <f t="shared" si="1"/>
        <v>1234</v>
      </c>
      <c r="T12" s="20">
        <f t="shared" si="2"/>
        <v>234</v>
      </c>
      <c r="U12" s="6" t="str">
        <f t="shared" si="8"/>
        <v>4c</v>
      </c>
      <c r="V12" s="6" t="b">
        <v>1</v>
      </c>
      <c r="W12" s="6" t="b">
        <v>1</v>
      </c>
      <c r="X12" s="6" t="b">
        <v>1</v>
      </c>
      <c r="Y12" s="6" t="str">
        <f t="shared" si="3"/>
        <v>4c</v>
      </c>
      <c r="Z12" s="6" t="b">
        <v>0</v>
      </c>
      <c r="AA12" s="6" t="b">
        <v>0</v>
      </c>
      <c r="AB12" s="6" t="b">
        <v>0</v>
      </c>
      <c r="AC12" s="6" t="str">
        <f t="shared" si="9"/>
        <v>4c</v>
      </c>
      <c r="AD12" s="6">
        <f t="shared" si="10"/>
        <v>0</v>
      </c>
      <c r="AG12" s="6">
        <v>0</v>
      </c>
    </row>
    <row r="13" spans="1:33" ht="15">
      <c r="A13" s="19" t="s">
        <v>446</v>
      </c>
      <c r="B13" s="6" t="b">
        <v>0</v>
      </c>
      <c r="C13" s="6" t="b">
        <v>1</v>
      </c>
      <c r="D13" s="6" t="b">
        <v>1</v>
      </c>
      <c r="E13" s="6" t="str">
        <f t="shared" si="4"/>
        <v>5a</v>
      </c>
      <c r="F13" s="6" t="b">
        <v>0</v>
      </c>
      <c r="G13" s="6" t="b">
        <v>0</v>
      </c>
      <c r="H13" s="6" t="b">
        <v>0</v>
      </c>
      <c r="I13" s="6" t="str">
        <f t="shared" si="5"/>
        <v>5a</v>
      </c>
      <c r="J13" s="6" t="b">
        <v>0</v>
      </c>
      <c r="K13" s="6" t="b">
        <v>0</v>
      </c>
      <c r="L13" s="6" t="b">
        <v>0</v>
      </c>
      <c r="M13" s="6" t="str">
        <f t="shared" si="6"/>
        <v>5a</v>
      </c>
      <c r="N13" s="6" t="b">
        <v>1</v>
      </c>
      <c r="O13" s="6" t="b">
        <v>0</v>
      </c>
      <c r="P13" s="6" t="b">
        <v>0</v>
      </c>
      <c r="Q13" s="6" t="str">
        <f t="shared" si="7"/>
        <v>5a</v>
      </c>
      <c r="R13" s="20">
        <f t="shared" si="0"/>
        <v>1234</v>
      </c>
      <c r="S13" s="20">
        <f t="shared" si="1"/>
        <v>34</v>
      </c>
      <c r="T13" s="20">
        <f t="shared" si="2"/>
        <v>34</v>
      </c>
      <c r="U13" s="6" t="str">
        <f t="shared" si="8"/>
        <v>5a</v>
      </c>
      <c r="V13" s="6" t="b">
        <v>1</v>
      </c>
      <c r="W13" s="6" t="b">
        <v>1</v>
      </c>
      <c r="X13" s="6" t="b">
        <v>1</v>
      </c>
      <c r="Y13" s="6" t="str">
        <f t="shared" si="3"/>
        <v>5a</v>
      </c>
      <c r="Z13" s="6" t="b">
        <v>0</v>
      </c>
      <c r="AA13" s="6" t="b">
        <v>0</v>
      </c>
      <c r="AB13" s="6" t="b">
        <v>0</v>
      </c>
      <c r="AC13" s="6" t="str">
        <f t="shared" si="9"/>
        <v>5a</v>
      </c>
      <c r="AD13" s="6">
        <f t="shared" si="10"/>
        <v>0</v>
      </c>
      <c r="AG13" s="6">
        <v>0</v>
      </c>
    </row>
    <row r="14" spans="1:33" ht="15">
      <c r="A14" s="19" t="s">
        <v>447</v>
      </c>
      <c r="B14" s="6" t="b">
        <v>0</v>
      </c>
      <c r="C14" s="6" t="b">
        <v>0</v>
      </c>
      <c r="D14" s="6" t="b">
        <v>0</v>
      </c>
      <c r="E14" s="6" t="str">
        <f t="shared" si="4"/>
        <v>5b</v>
      </c>
      <c r="F14" s="6" t="b">
        <v>0</v>
      </c>
      <c r="G14" s="6" t="b">
        <v>0</v>
      </c>
      <c r="H14" s="6" t="b">
        <v>0</v>
      </c>
      <c r="I14" s="6" t="str">
        <f t="shared" si="5"/>
        <v>5b</v>
      </c>
      <c r="J14" s="6" t="b">
        <v>0</v>
      </c>
      <c r="K14" s="6" t="b">
        <v>1</v>
      </c>
      <c r="L14" s="6" t="b">
        <v>1</v>
      </c>
      <c r="M14" s="6" t="str">
        <f t="shared" si="6"/>
        <v>5b</v>
      </c>
      <c r="N14" s="6" t="b">
        <v>1</v>
      </c>
      <c r="O14" s="6" t="b">
        <v>0</v>
      </c>
      <c r="P14" s="6" t="b">
        <v>0</v>
      </c>
      <c r="Q14" s="6" t="str">
        <f t="shared" si="7"/>
        <v>5b</v>
      </c>
      <c r="R14" s="20">
        <f t="shared" si="0"/>
        <v>1234</v>
      </c>
      <c r="S14" s="20">
        <f t="shared" si="1"/>
        <v>234</v>
      </c>
      <c r="T14" s="20">
        <f t="shared" si="2"/>
        <v>234</v>
      </c>
      <c r="U14" s="6" t="str">
        <f t="shared" si="8"/>
        <v>5b</v>
      </c>
      <c r="V14" s="6" t="b">
        <v>1</v>
      </c>
      <c r="W14" s="6" t="b">
        <v>1</v>
      </c>
      <c r="X14" s="6" t="b">
        <v>1</v>
      </c>
      <c r="Y14" s="6" t="str">
        <f t="shared" si="3"/>
        <v>5b</v>
      </c>
      <c r="Z14" s="6" t="b">
        <v>0</v>
      </c>
      <c r="AA14" s="6" t="b">
        <v>0</v>
      </c>
      <c r="AB14" s="6" t="b">
        <v>0</v>
      </c>
      <c r="AC14" s="6" t="str">
        <f t="shared" si="9"/>
        <v>5b</v>
      </c>
      <c r="AD14" s="6">
        <f t="shared" si="10"/>
        <v>0</v>
      </c>
      <c r="AG14" s="6">
        <v>0</v>
      </c>
    </row>
    <row r="15" spans="1:33" ht="15">
      <c r="A15" s="19" t="s">
        <v>448</v>
      </c>
      <c r="B15" s="6" t="b">
        <v>0</v>
      </c>
      <c r="C15" s="6" t="b">
        <v>0</v>
      </c>
      <c r="D15" s="6" t="b">
        <v>1</v>
      </c>
      <c r="E15" s="6" t="str">
        <f t="shared" si="4"/>
        <v>6a</v>
      </c>
      <c r="F15" s="6" t="b">
        <v>0</v>
      </c>
      <c r="G15" s="6" t="b">
        <v>0</v>
      </c>
      <c r="H15" s="6" t="b">
        <v>0</v>
      </c>
      <c r="I15" s="6" t="str">
        <f t="shared" si="5"/>
        <v>6a</v>
      </c>
      <c r="J15" s="6" t="b">
        <v>0</v>
      </c>
      <c r="K15" s="6" t="b">
        <v>0</v>
      </c>
      <c r="L15" s="6" t="b">
        <v>0</v>
      </c>
      <c r="M15" s="6" t="str">
        <f t="shared" si="6"/>
        <v>6a</v>
      </c>
      <c r="N15" s="6" t="b">
        <v>1</v>
      </c>
      <c r="O15" s="6" t="b">
        <v>0</v>
      </c>
      <c r="P15" s="6" t="b">
        <v>0</v>
      </c>
      <c r="Q15" s="6" t="str">
        <f t="shared" si="7"/>
        <v>6a</v>
      </c>
      <c r="R15" s="20">
        <f t="shared" si="0"/>
        <v>1234</v>
      </c>
      <c r="S15" s="20">
        <f t="shared" si="1"/>
        <v>1234</v>
      </c>
      <c r="T15" s="20">
        <f t="shared" si="2"/>
        <v>34</v>
      </c>
      <c r="U15" s="6" t="str">
        <f t="shared" si="8"/>
        <v>6a</v>
      </c>
      <c r="V15" s="6" t="b">
        <v>0</v>
      </c>
      <c r="W15" s="6" t="b">
        <v>1</v>
      </c>
      <c r="X15" s="6" t="b">
        <v>1</v>
      </c>
      <c r="Y15" s="6" t="str">
        <f t="shared" si="3"/>
        <v>6a</v>
      </c>
      <c r="Z15" s="6" t="b">
        <v>0</v>
      </c>
      <c r="AA15" s="6" t="b">
        <v>1</v>
      </c>
      <c r="AB15" s="6" t="b">
        <v>0</v>
      </c>
      <c r="AC15" s="6" t="str">
        <f t="shared" si="9"/>
        <v>6a</v>
      </c>
      <c r="AD15" s="6">
        <f t="shared" si="10"/>
        <v>0</v>
      </c>
      <c r="AG15" s="6">
        <v>1</v>
      </c>
    </row>
    <row r="16" spans="1:33" ht="15">
      <c r="A16" s="19" t="s">
        <v>449</v>
      </c>
      <c r="B16" s="6" t="b">
        <v>0</v>
      </c>
      <c r="C16" s="6" t="b">
        <v>0</v>
      </c>
      <c r="D16" s="6" t="b">
        <v>0</v>
      </c>
      <c r="E16" s="6" t="str">
        <f t="shared" si="4"/>
        <v>6b</v>
      </c>
      <c r="F16" s="6" t="b">
        <v>0</v>
      </c>
      <c r="G16" s="6" t="b">
        <v>0</v>
      </c>
      <c r="H16" s="6" t="b">
        <v>0</v>
      </c>
      <c r="I16" s="6" t="str">
        <f t="shared" si="5"/>
        <v>6b</v>
      </c>
      <c r="J16" s="6" t="b">
        <v>0</v>
      </c>
      <c r="K16" s="6" t="b">
        <v>0</v>
      </c>
      <c r="L16" s="6" t="b">
        <v>0</v>
      </c>
      <c r="M16" s="6" t="str">
        <f t="shared" si="6"/>
        <v>6b</v>
      </c>
      <c r="N16" s="6" t="b">
        <v>1</v>
      </c>
      <c r="O16" s="6" t="b">
        <v>0</v>
      </c>
      <c r="P16" s="6" t="b">
        <v>1</v>
      </c>
      <c r="Q16" s="6" t="str">
        <f t="shared" si="7"/>
        <v>6b</v>
      </c>
      <c r="R16" s="20">
        <f t="shared" si="0"/>
        <v>1234</v>
      </c>
      <c r="S16" s="20">
        <f t="shared" si="1"/>
        <v>1234</v>
      </c>
      <c r="T16" s="20">
        <f t="shared" si="2"/>
        <v>1234</v>
      </c>
      <c r="U16" s="6" t="str">
        <f t="shared" si="8"/>
        <v>6b</v>
      </c>
      <c r="V16" s="6" t="b">
        <v>0</v>
      </c>
      <c r="W16" s="6" t="b">
        <v>1</v>
      </c>
      <c r="X16" s="6" t="b">
        <v>1</v>
      </c>
      <c r="Y16" s="6" t="str">
        <f t="shared" si="3"/>
        <v>6b</v>
      </c>
      <c r="Z16" s="6" t="b">
        <v>0</v>
      </c>
      <c r="AA16" s="6" t="b">
        <v>1</v>
      </c>
      <c r="AB16" s="6" t="b">
        <v>0</v>
      </c>
      <c r="AC16" s="6" t="str">
        <f t="shared" si="9"/>
        <v>6b</v>
      </c>
      <c r="AD16" s="6">
        <f t="shared" si="10"/>
        <v>0</v>
      </c>
      <c r="AG16" s="6">
        <v>1</v>
      </c>
    </row>
    <row r="17" spans="1:33" ht="15">
      <c r="A17" s="19" t="s">
        <v>450</v>
      </c>
      <c r="B17" s="6" t="b">
        <v>0</v>
      </c>
      <c r="C17" s="6" t="b">
        <v>0</v>
      </c>
      <c r="D17" s="6" t="b">
        <v>0</v>
      </c>
      <c r="E17" s="6" t="str">
        <f t="shared" si="4"/>
        <v>7a</v>
      </c>
      <c r="F17" s="6" t="b">
        <v>0</v>
      </c>
      <c r="G17" s="6" t="b">
        <v>0</v>
      </c>
      <c r="H17" s="6" t="b">
        <v>0</v>
      </c>
      <c r="I17" s="6" t="str">
        <f t="shared" si="5"/>
        <v>7a</v>
      </c>
      <c r="J17" s="6" t="b">
        <v>0</v>
      </c>
      <c r="K17" s="6" t="b">
        <v>0</v>
      </c>
      <c r="L17" s="6" t="b">
        <v>1</v>
      </c>
      <c r="M17" s="6" t="str">
        <f t="shared" si="6"/>
        <v>7a</v>
      </c>
      <c r="N17" s="6" t="b">
        <v>1</v>
      </c>
      <c r="O17" s="6" t="b">
        <v>0</v>
      </c>
      <c r="P17" s="6" t="b">
        <v>0</v>
      </c>
      <c r="Q17" s="6" t="str">
        <f t="shared" si="7"/>
        <v>7a</v>
      </c>
      <c r="R17" s="20">
        <f t="shared" si="0"/>
        <v>1234</v>
      </c>
      <c r="S17" s="20">
        <f t="shared" si="1"/>
        <v>1234</v>
      </c>
      <c r="T17" s="20">
        <f t="shared" si="2"/>
        <v>234</v>
      </c>
      <c r="U17" s="6" t="str">
        <f t="shared" si="8"/>
        <v>7a</v>
      </c>
      <c r="V17" s="6" t="b">
        <v>0</v>
      </c>
      <c r="W17" s="6" t="b">
        <v>1</v>
      </c>
      <c r="X17" s="6" t="b">
        <v>1</v>
      </c>
      <c r="Y17" s="6" t="str">
        <f t="shared" si="3"/>
        <v>7a</v>
      </c>
      <c r="Z17" s="6" t="b">
        <v>0</v>
      </c>
      <c r="AA17" s="6" t="b">
        <v>1</v>
      </c>
      <c r="AB17" s="6" t="b">
        <v>0</v>
      </c>
      <c r="AC17" s="6" t="str">
        <f t="shared" si="9"/>
        <v>7a</v>
      </c>
      <c r="AD17" s="6">
        <f t="shared" si="10"/>
        <v>0</v>
      </c>
      <c r="AG17" s="6">
        <v>1</v>
      </c>
    </row>
    <row r="18" spans="1:33" ht="15">
      <c r="A18" s="19" t="s">
        <v>451</v>
      </c>
      <c r="B18" s="6" t="b">
        <v>0</v>
      </c>
      <c r="C18" s="6" t="b">
        <v>0</v>
      </c>
      <c r="D18" s="6" t="b">
        <v>0</v>
      </c>
      <c r="E18" s="6" t="str">
        <f t="shared" si="4"/>
        <v>7b</v>
      </c>
      <c r="F18" s="6" t="b">
        <v>0</v>
      </c>
      <c r="G18" s="6" t="b">
        <v>0</v>
      </c>
      <c r="H18" s="6" t="b">
        <v>0</v>
      </c>
      <c r="I18" s="6" t="str">
        <f t="shared" si="5"/>
        <v>7b</v>
      </c>
      <c r="J18" s="6" t="b">
        <v>0</v>
      </c>
      <c r="K18" s="6" t="b">
        <v>0</v>
      </c>
      <c r="L18" s="6" t="b">
        <v>1</v>
      </c>
      <c r="M18" s="6" t="str">
        <f t="shared" si="6"/>
        <v>7b</v>
      </c>
      <c r="N18" s="6" t="b">
        <v>1</v>
      </c>
      <c r="O18" s="6" t="b">
        <v>0</v>
      </c>
      <c r="P18" s="6" t="b">
        <v>0</v>
      </c>
      <c r="Q18" s="6" t="str">
        <f t="shared" si="7"/>
        <v>7b</v>
      </c>
      <c r="R18" s="20">
        <f t="shared" si="0"/>
        <v>1234</v>
      </c>
      <c r="S18" s="20">
        <f t="shared" si="1"/>
        <v>1234</v>
      </c>
      <c r="T18" s="20">
        <f t="shared" si="2"/>
        <v>234</v>
      </c>
      <c r="U18" s="6" t="str">
        <f t="shared" si="8"/>
        <v>7b</v>
      </c>
      <c r="V18" s="6" t="b">
        <v>0</v>
      </c>
      <c r="W18" s="6" t="b">
        <v>1</v>
      </c>
      <c r="X18" s="6" t="b">
        <v>1</v>
      </c>
      <c r="Y18" s="6" t="str">
        <f t="shared" si="3"/>
        <v>7b</v>
      </c>
      <c r="Z18" s="6" t="b">
        <v>0</v>
      </c>
      <c r="AA18" s="6" t="b">
        <v>1</v>
      </c>
      <c r="AB18" s="6" t="b">
        <v>0</v>
      </c>
      <c r="AC18" s="6" t="str">
        <f t="shared" si="9"/>
        <v>7b</v>
      </c>
      <c r="AD18" s="6">
        <f t="shared" si="10"/>
        <v>0</v>
      </c>
      <c r="AG18" s="6">
        <v>1</v>
      </c>
    </row>
    <row r="19" spans="1:33" ht="15">
      <c r="A19" s="19" t="s">
        <v>452</v>
      </c>
      <c r="B19" s="6" t="b">
        <v>0</v>
      </c>
      <c r="C19" s="6" t="b">
        <v>0</v>
      </c>
      <c r="D19" s="6" t="b">
        <v>0</v>
      </c>
      <c r="E19" s="6" t="str">
        <f t="shared" si="4"/>
        <v>8a</v>
      </c>
      <c r="F19" s="6" t="b">
        <v>0</v>
      </c>
      <c r="G19" s="6" t="b">
        <v>0</v>
      </c>
      <c r="H19" s="6" t="b">
        <v>0</v>
      </c>
      <c r="I19" s="6" t="str">
        <f t="shared" si="5"/>
        <v>8a</v>
      </c>
      <c r="J19" s="6" t="b">
        <v>0</v>
      </c>
      <c r="K19" s="6" t="b">
        <v>0</v>
      </c>
      <c r="L19" s="6" t="b">
        <v>1</v>
      </c>
      <c r="M19" s="6" t="str">
        <f t="shared" si="6"/>
        <v>8a</v>
      </c>
      <c r="N19" s="6" t="b">
        <v>1</v>
      </c>
      <c r="O19" s="6" t="b">
        <v>0</v>
      </c>
      <c r="P19" s="6" t="b">
        <v>0</v>
      </c>
      <c r="Q19" s="6" t="str">
        <f t="shared" si="7"/>
        <v>8a</v>
      </c>
      <c r="R19" s="20">
        <f t="shared" si="0"/>
        <v>1234</v>
      </c>
      <c r="S19" s="20">
        <f t="shared" si="1"/>
        <v>1234</v>
      </c>
      <c r="T19" s="20">
        <f t="shared" si="2"/>
        <v>234</v>
      </c>
      <c r="U19" s="6" t="str">
        <f t="shared" si="8"/>
        <v>8a</v>
      </c>
      <c r="V19" s="6" t="b">
        <v>0</v>
      </c>
      <c r="W19" s="6" t="b">
        <v>1</v>
      </c>
      <c r="X19" s="6" t="b">
        <v>1</v>
      </c>
      <c r="Y19" s="6" t="str">
        <f t="shared" si="3"/>
        <v>8a</v>
      </c>
      <c r="Z19" s="6" t="b">
        <v>0</v>
      </c>
      <c r="AA19" s="6" t="b">
        <v>1</v>
      </c>
      <c r="AB19" s="6" t="b">
        <v>0</v>
      </c>
      <c r="AC19" s="6" t="str">
        <f t="shared" si="9"/>
        <v>8a</v>
      </c>
      <c r="AD19" s="6">
        <f t="shared" si="10"/>
        <v>0</v>
      </c>
      <c r="AG19" s="6">
        <v>1</v>
      </c>
    </row>
    <row r="20" spans="1:33" ht="15">
      <c r="A20" s="19" t="s">
        <v>453</v>
      </c>
      <c r="B20" s="6" t="b">
        <v>0</v>
      </c>
      <c r="C20" s="6" t="b">
        <v>0</v>
      </c>
      <c r="D20" s="6" t="b">
        <v>0</v>
      </c>
      <c r="E20" s="6" t="str">
        <f t="shared" si="4"/>
        <v>8b</v>
      </c>
      <c r="F20" s="6" t="b">
        <v>0</v>
      </c>
      <c r="G20" s="6" t="b">
        <v>0</v>
      </c>
      <c r="H20" s="6" t="b">
        <v>0</v>
      </c>
      <c r="I20" s="6" t="str">
        <f t="shared" si="5"/>
        <v>8b</v>
      </c>
      <c r="J20" s="6" t="b">
        <v>0</v>
      </c>
      <c r="K20" s="6" t="b">
        <v>0</v>
      </c>
      <c r="L20" s="6" t="b">
        <v>0</v>
      </c>
      <c r="M20" s="6" t="str">
        <f t="shared" si="6"/>
        <v>8b</v>
      </c>
      <c r="N20" s="6" t="b">
        <v>1</v>
      </c>
      <c r="O20" s="6" t="b">
        <v>0</v>
      </c>
      <c r="P20" s="6" t="b">
        <v>1</v>
      </c>
      <c r="Q20" s="6" t="str">
        <f t="shared" si="7"/>
        <v>8b</v>
      </c>
      <c r="R20" s="20">
        <f t="shared" si="0"/>
        <v>1234</v>
      </c>
      <c r="S20" s="20">
        <f t="shared" si="1"/>
        <v>1234</v>
      </c>
      <c r="T20" s="20">
        <f t="shared" si="2"/>
        <v>1234</v>
      </c>
      <c r="U20" s="6" t="str">
        <f t="shared" si="8"/>
        <v>8b</v>
      </c>
      <c r="V20" s="6" t="b">
        <v>0</v>
      </c>
      <c r="W20" s="6" t="b">
        <v>1</v>
      </c>
      <c r="X20" s="6" t="b">
        <v>1</v>
      </c>
      <c r="Y20" s="6" t="str">
        <f t="shared" si="3"/>
        <v>8b</v>
      </c>
      <c r="Z20" s="6" t="b">
        <v>0</v>
      </c>
      <c r="AA20" s="6" t="b">
        <v>1</v>
      </c>
      <c r="AB20" s="6" t="b">
        <v>0</v>
      </c>
      <c r="AC20" s="6" t="str">
        <f t="shared" si="9"/>
        <v>8b</v>
      </c>
      <c r="AD20" s="6">
        <f t="shared" si="10"/>
        <v>0</v>
      </c>
      <c r="AG20" s="6">
        <v>1</v>
      </c>
    </row>
    <row r="21" spans="1:33" ht="15">
      <c r="A21" s="19" t="s">
        <v>454</v>
      </c>
      <c r="B21" s="6" t="b">
        <v>0</v>
      </c>
      <c r="C21" s="6" t="b">
        <v>0</v>
      </c>
      <c r="D21" s="6" t="b">
        <v>0</v>
      </c>
      <c r="E21" s="6" t="str">
        <f t="shared" si="4"/>
        <v>8c</v>
      </c>
      <c r="F21" s="6" t="b">
        <v>0</v>
      </c>
      <c r="G21" s="6" t="b">
        <v>0</v>
      </c>
      <c r="H21" s="6" t="b">
        <v>0</v>
      </c>
      <c r="I21" s="6" t="str">
        <f t="shared" si="5"/>
        <v>8c</v>
      </c>
      <c r="J21" s="6" t="b">
        <v>0</v>
      </c>
      <c r="K21" s="6" t="b">
        <v>1</v>
      </c>
      <c r="L21" s="6" t="b">
        <v>1</v>
      </c>
      <c r="M21" s="6" t="str">
        <f t="shared" si="6"/>
        <v>8c</v>
      </c>
      <c r="N21" s="6" t="b">
        <v>1</v>
      </c>
      <c r="O21" s="6" t="b">
        <v>0</v>
      </c>
      <c r="P21" s="6" t="b">
        <v>0</v>
      </c>
      <c r="Q21" s="6" t="str">
        <f t="shared" si="7"/>
        <v>8c</v>
      </c>
      <c r="R21" s="20">
        <f t="shared" si="0"/>
        <v>1234</v>
      </c>
      <c r="S21" s="20">
        <f t="shared" si="1"/>
        <v>234</v>
      </c>
      <c r="T21" s="20">
        <f t="shared" si="2"/>
        <v>234</v>
      </c>
      <c r="U21" s="6" t="str">
        <f t="shared" si="8"/>
        <v>8c</v>
      </c>
      <c r="V21" s="6" t="b">
        <v>0</v>
      </c>
      <c r="W21" s="6" t="b">
        <v>1</v>
      </c>
      <c r="X21" s="6" t="b">
        <v>1</v>
      </c>
      <c r="Y21" s="6" t="str">
        <f t="shared" si="3"/>
        <v>8c</v>
      </c>
      <c r="Z21" s="6" t="b">
        <v>0</v>
      </c>
      <c r="AA21" s="6" t="b">
        <v>0</v>
      </c>
      <c r="AB21" s="6" t="b">
        <v>0</v>
      </c>
      <c r="AC21" s="6" t="str">
        <f t="shared" si="9"/>
        <v>8c</v>
      </c>
      <c r="AD21" s="6">
        <f t="shared" si="10"/>
        <v>0</v>
      </c>
      <c r="AG21" s="6">
        <v>1</v>
      </c>
    </row>
    <row r="22" spans="1:33" s="6" customFormat="1" ht="15">
      <c r="A22" s="19" t="s">
        <v>548</v>
      </c>
      <c r="B22" s="6" t="b">
        <v>0</v>
      </c>
      <c r="C22" s="6" t="b">
        <v>0</v>
      </c>
      <c r="D22" s="6" t="b">
        <v>0</v>
      </c>
      <c r="E22" s="6" t="str">
        <f t="shared" si="4"/>
        <v>8d</v>
      </c>
      <c r="F22" s="6" t="b">
        <v>0</v>
      </c>
      <c r="G22" s="6" t="b">
        <v>0</v>
      </c>
      <c r="H22" s="6" t="b">
        <v>0</v>
      </c>
      <c r="I22" s="6" t="str">
        <f t="shared" si="5"/>
        <v>8d</v>
      </c>
      <c r="J22" s="6" t="b">
        <v>0</v>
      </c>
      <c r="K22" s="6" t="b">
        <v>1</v>
      </c>
      <c r="L22" s="6" t="b">
        <v>1</v>
      </c>
      <c r="M22" s="6" t="str">
        <f t="shared" si="6"/>
        <v>8d</v>
      </c>
      <c r="N22" s="6" t="b">
        <v>1</v>
      </c>
      <c r="O22" s="6" t="b">
        <v>0</v>
      </c>
      <c r="P22" s="6" t="b">
        <v>0</v>
      </c>
      <c r="Q22" s="6" t="str">
        <f t="shared" si="7"/>
        <v>8d</v>
      </c>
      <c r="R22" s="20">
        <f t="shared" si="0"/>
        <v>1234</v>
      </c>
      <c r="S22" s="20">
        <f t="shared" si="1"/>
        <v>234</v>
      </c>
      <c r="T22" s="20">
        <f t="shared" si="2"/>
        <v>234</v>
      </c>
      <c r="U22" s="6" t="str">
        <f t="shared" si="8"/>
        <v>8d</v>
      </c>
      <c r="V22" s="6" t="b">
        <v>0</v>
      </c>
      <c r="W22" s="6" t="b">
        <v>1</v>
      </c>
      <c r="X22" s="6" t="b">
        <v>1</v>
      </c>
      <c r="Y22" s="6" t="str">
        <f t="shared" si="3"/>
        <v>8d</v>
      </c>
      <c r="Z22" s="6" t="b">
        <v>0</v>
      </c>
      <c r="AA22" s="6" t="b">
        <v>0</v>
      </c>
      <c r="AB22" s="6" t="b">
        <v>0</v>
      </c>
      <c r="AC22" s="6" t="str">
        <f t="shared" si="9"/>
        <v>8d</v>
      </c>
      <c r="AD22" s="6">
        <f t="shared" si="10"/>
        <v>0</v>
      </c>
      <c r="AG22" s="6">
        <v>1</v>
      </c>
    </row>
    <row r="23" spans="1:33" ht="15">
      <c r="A23" s="19" t="s">
        <v>455</v>
      </c>
      <c r="B23" s="6" t="b">
        <v>0</v>
      </c>
      <c r="C23" s="6" t="b">
        <v>0</v>
      </c>
      <c r="D23" s="6" t="b">
        <v>1</v>
      </c>
      <c r="E23" s="6" t="str">
        <f t="shared" si="4"/>
        <v>9a</v>
      </c>
      <c r="F23" s="6" t="b">
        <v>0</v>
      </c>
      <c r="G23" s="6" t="b">
        <v>0</v>
      </c>
      <c r="H23" s="6" t="b">
        <v>0</v>
      </c>
      <c r="I23" s="6" t="str">
        <f t="shared" si="5"/>
        <v>9a</v>
      </c>
      <c r="J23" s="6" t="b">
        <v>0</v>
      </c>
      <c r="K23" s="6" t="b">
        <v>0</v>
      </c>
      <c r="L23" s="6" t="b">
        <v>0</v>
      </c>
      <c r="M23" s="6" t="str">
        <f t="shared" si="6"/>
        <v>9a</v>
      </c>
      <c r="N23" s="6" t="b">
        <v>1</v>
      </c>
      <c r="O23" s="6" t="b">
        <v>0</v>
      </c>
      <c r="P23" s="6" t="b">
        <v>0</v>
      </c>
      <c r="Q23" s="6" t="str">
        <f t="shared" si="7"/>
        <v>9a</v>
      </c>
      <c r="R23" s="20">
        <f t="shared" si="0"/>
        <v>1234</v>
      </c>
      <c r="S23" s="20">
        <f t="shared" si="1"/>
        <v>1234</v>
      </c>
      <c r="T23" s="20">
        <f t="shared" si="2"/>
        <v>34</v>
      </c>
      <c r="U23" s="6" t="str">
        <f t="shared" si="8"/>
        <v>9a</v>
      </c>
      <c r="V23" s="6" t="b">
        <v>0</v>
      </c>
      <c r="W23" s="6" t="b">
        <v>1</v>
      </c>
      <c r="X23" s="6" t="b">
        <v>1</v>
      </c>
      <c r="Y23" s="6" t="str">
        <f t="shared" si="3"/>
        <v>9a</v>
      </c>
      <c r="Z23" s="6" t="b">
        <v>0</v>
      </c>
      <c r="AA23" s="6" t="b">
        <v>1</v>
      </c>
      <c r="AB23" s="6" t="b">
        <v>0</v>
      </c>
      <c r="AC23" s="6" t="str">
        <f t="shared" si="9"/>
        <v>9a</v>
      </c>
      <c r="AD23" s="6">
        <f t="shared" si="10"/>
        <v>0</v>
      </c>
      <c r="AG23" s="6">
        <v>2</v>
      </c>
    </row>
    <row r="24" spans="1:33" ht="15">
      <c r="A24" s="19" t="s">
        <v>456</v>
      </c>
      <c r="B24" s="6" t="b">
        <v>0</v>
      </c>
      <c r="C24" s="6" t="b">
        <v>0</v>
      </c>
      <c r="D24" s="6" t="b">
        <v>0</v>
      </c>
      <c r="E24" s="6" t="str">
        <f t="shared" si="4"/>
        <v>9b</v>
      </c>
      <c r="F24" s="6" t="b">
        <v>0</v>
      </c>
      <c r="G24" s="6" t="b">
        <v>0</v>
      </c>
      <c r="H24" s="6" t="b">
        <v>0</v>
      </c>
      <c r="I24" s="6" t="str">
        <f t="shared" si="5"/>
        <v>9b</v>
      </c>
      <c r="J24" s="6" t="b">
        <v>0</v>
      </c>
      <c r="K24" s="6" t="b">
        <v>0</v>
      </c>
      <c r="L24" s="6" t="b">
        <v>0</v>
      </c>
      <c r="M24" s="6" t="str">
        <f t="shared" si="6"/>
        <v>9b</v>
      </c>
      <c r="N24" s="6" t="b">
        <v>1</v>
      </c>
      <c r="O24" s="6" t="b">
        <v>0</v>
      </c>
      <c r="P24" s="6" t="b">
        <v>1</v>
      </c>
      <c r="Q24" s="6" t="str">
        <f t="shared" si="7"/>
        <v>9b</v>
      </c>
      <c r="R24" s="20">
        <f t="shared" si="0"/>
        <v>1234</v>
      </c>
      <c r="S24" s="20">
        <f t="shared" si="1"/>
        <v>1234</v>
      </c>
      <c r="T24" s="20">
        <f t="shared" si="2"/>
        <v>1234</v>
      </c>
      <c r="U24" s="6" t="str">
        <f t="shared" si="8"/>
        <v>9b</v>
      </c>
      <c r="V24" s="6" t="b">
        <v>0</v>
      </c>
      <c r="W24" s="6" t="b">
        <v>1</v>
      </c>
      <c r="X24" s="6" t="b">
        <v>1</v>
      </c>
      <c r="Y24" s="6" t="str">
        <f t="shared" si="3"/>
        <v>9b</v>
      </c>
      <c r="Z24" s="6" t="b">
        <v>0</v>
      </c>
      <c r="AA24" s="6" t="b">
        <v>1</v>
      </c>
      <c r="AB24" s="6" t="b">
        <v>0</v>
      </c>
      <c r="AC24" s="6" t="str">
        <f t="shared" si="9"/>
        <v>9b</v>
      </c>
      <c r="AD24" s="6">
        <f t="shared" si="10"/>
        <v>0</v>
      </c>
      <c r="AG24" s="6">
        <v>2</v>
      </c>
    </row>
    <row r="25" spans="1:33" ht="15">
      <c r="A25" s="19" t="s">
        <v>457</v>
      </c>
      <c r="B25" s="6" t="b">
        <v>0</v>
      </c>
      <c r="C25" s="6" t="b">
        <v>0</v>
      </c>
      <c r="D25" s="6" t="b">
        <v>0</v>
      </c>
      <c r="E25" s="6" t="str">
        <f t="shared" si="4"/>
        <v>10a</v>
      </c>
      <c r="F25" s="6" t="b">
        <v>0</v>
      </c>
      <c r="G25" s="6" t="b">
        <v>0</v>
      </c>
      <c r="H25" s="6" t="b">
        <v>0</v>
      </c>
      <c r="I25" s="6" t="str">
        <f t="shared" si="5"/>
        <v>10a</v>
      </c>
      <c r="J25" s="6" t="b">
        <v>0</v>
      </c>
      <c r="K25" s="6" t="b">
        <v>0</v>
      </c>
      <c r="L25" s="6" t="b">
        <v>1</v>
      </c>
      <c r="M25" s="6" t="str">
        <f t="shared" si="6"/>
        <v>10a</v>
      </c>
      <c r="N25" s="6" t="b">
        <v>1</v>
      </c>
      <c r="O25" s="6" t="b">
        <v>0</v>
      </c>
      <c r="P25" s="6" t="b">
        <v>0</v>
      </c>
      <c r="Q25" s="6" t="str">
        <f t="shared" si="7"/>
        <v>10a</v>
      </c>
      <c r="R25" s="20">
        <f t="shared" si="0"/>
        <v>1234</v>
      </c>
      <c r="S25" s="20">
        <f t="shared" si="1"/>
        <v>1234</v>
      </c>
      <c r="T25" s="20">
        <f t="shared" si="2"/>
        <v>234</v>
      </c>
      <c r="U25" s="6" t="str">
        <f t="shared" si="8"/>
        <v>10a</v>
      </c>
      <c r="V25" s="6" t="b">
        <v>0</v>
      </c>
      <c r="W25" s="6" t="b">
        <v>1</v>
      </c>
      <c r="X25" s="6" t="b">
        <v>1</v>
      </c>
      <c r="Y25" s="6" t="str">
        <f t="shared" si="3"/>
        <v>10a</v>
      </c>
      <c r="Z25" s="6" t="b">
        <v>0</v>
      </c>
      <c r="AA25" s="6" t="b">
        <v>1</v>
      </c>
      <c r="AB25" s="6" t="b">
        <v>0</v>
      </c>
      <c r="AC25" s="6" t="str">
        <f t="shared" si="9"/>
        <v>10a</v>
      </c>
      <c r="AD25" s="6">
        <f t="shared" si="10"/>
        <v>0</v>
      </c>
      <c r="AG25" s="6">
        <v>2</v>
      </c>
    </row>
    <row r="26" spans="1:33" ht="15">
      <c r="A26" s="19" t="s">
        <v>458</v>
      </c>
      <c r="B26" s="6" t="b">
        <v>0</v>
      </c>
      <c r="C26" s="6" t="b">
        <v>0</v>
      </c>
      <c r="D26" s="6" t="b">
        <v>1</v>
      </c>
      <c r="E26" s="6" t="str">
        <f t="shared" si="4"/>
        <v>10b</v>
      </c>
      <c r="F26" s="6" t="b">
        <v>0</v>
      </c>
      <c r="G26" s="6" t="b">
        <v>0</v>
      </c>
      <c r="H26" s="6" t="b">
        <v>0</v>
      </c>
      <c r="I26" s="6" t="str">
        <f t="shared" si="5"/>
        <v>10b</v>
      </c>
      <c r="J26" s="6" t="b">
        <v>0</v>
      </c>
      <c r="K26" s="6" t="b">
        <v>0</v>
      </c>
      <c r="L26" s="6" t="b">
        <v>0</v>
      </c>
      <c r="M26" s="6" t="str">
        <f t="shared" si="6"/>
        <v>10b</v>
      </c>
      <c r="N26" s="6" t="b">
        <v>1</v>
      </c>
      <c r="O26" s="6" t="b">
        <v>0</v>
      </c>
      <c r="P26" s="6" t="b">
        <v>0</v>
      </c>
      <c r="Q26" s="6" t="str">
        <f t="shared" si="7"/>
        <v>10b</v>
      </c>
      <c r="R26" s="20">
        <f t="shared" si="0"/>
        <v>1234</v>
      </c>
      <c r="S26" s="20">
        <f t="shared" si="1"/>
        <v>1234</v>
      </c>
      <c r="T26" s="20">
        <f t="shared" si="2"/>
        <v>34</v>
      </c>
      <c r="U26" s="6" t="str">
        <f t="shared" si="8"/>
        <v>10b</v>
      </c>
      <c r="V26" s="6" t="b">
        <v>0</v>
      </c>
      <c r="W26" s="6" t="b">
        <v>1</v>
      </c>
      <c r="X26" s="6" t="b">
        <v>1</v>
      </c>
      <c r="Y26" s="6" t="str">
        <f t="shared" si="3"/>
        <v>10b</v>
      </c>
      <c r="Z26" s="6" t="b">
        <v>0</v>
      </c>
      <c r="AA26" s="6" t="b">
        <v>1</v>
      </c>
      <c r="AB26" s="6" t="b">
        <v>0</v>
      </c>
      <c r="AC26" s="6" t="str">
        <f t="shared" si="9"/>
        <v>10b</v>
      </c>
      <c r="AD26" s="6">
        <f t="shared" si="10"/>
        <v>0</v>
      </c>
      <c r="AG26" s="6">
        <v>2</v>
      </c>
    </row>
    <row r="27" spans="1:33" ht="15">
      <c r="A27" s="19" t="s">
        <v>459</v>
      </c>
      <c r="B27" s="6" t="b">
        <v>0</v>
      </c>
      <c r="C27" s="6" t="b">
        <v>0</v>
      </c>
      <c r="D27" s="6" t="b">
        <v>1</v>
      </c>
      <c r="E27" s="6" t="str">
        <f t="shared" si="4"/>
        <v>10c</v>
      </c>
      <c r="F27" s="6" t="b">
        <v>0</v>
      </c>
      <c r="G27" s="6" t="b">
        <v>0</v>
      </c>
      <c r="H27" s="6" t="b">
        <v>0</v>
      </c>
      <c r="I27" s="6" t="str">
        <f t="shared" si="5"/>
        <v>10c</v>
      </c>
      <c r="J27" s="6" t="b">
        <v>0</v>
      </c>
      <c r="K27" s="6" t="b">
        <v>1</v>
      </c>
      <c r="L27" s="6" t="b">
        <v>0</v>
      </c>
      <c r="M27" s="6" t="str">
        <f t="shared" si="6"/>
        <v>10c</v>
      </c>
      <c r="N27" s="6" t="b">
        <v>1</v>
      </c>
      <c r="O27" s="6" t="b">
        <v>0</v>
      </c>
      <c r="P27" s="6" t="b">
        <v>0</v>
      </c>
      <c r="Q27" s="6" t="str">
        <f t="shared" si="7"/>
        <v>10c</v>
      </c>
      <c r="R27" s="20">
        <f t="shared" si="0"/>
        <v>1234</v>
      </c>
      <c r="S27" s="20">
        <f t="shared" si="1"/>
        <v>234</v>
      </c>
      <c r="T27" s="20">
        <f t="shared" si="2"/>
        <v>34</v>
      </c>
      <c r="U27" s="6" t="str">
        <f t="shared" si="8"/>
        <v>10c</v>
      </c>
      <c r="V27" s="6" t="b">
        <v>0</v>
      </c>
      <c r="W27" s="6" t="b">
        <v>1</v>
      </c>
      <c r="X27" s="6" t="b">
        <v>1</v>
      </c>
      <c r="Y27" s="6" t="str">
        <f t="shared" si="3"/>
        <v>10c</v>
      </c>
      <c r="Z27" s="6" t="b">
        <v>0</v>
      </c>
      <c r="AA27" s="6" t="b">
        <v>0</v>
      </c>
      <c r="AB27" s="6" t="b">
        <v>0</v>
      </c>
      <c r="AC27" s="6" t="str">
        <f t="shared" si="9"/>
        <v>10c</v>
      </c>
      <c r="AD27" s="6">
        <f t="shared" si="10"/>
        <v>0</v>
      </c>
      <c r="AG27" s="6">
        <v>2</v>
      </c>
    </row>
    <row r="28" spans="1:33" ht="15">
      <c r="A28" s="19" t="s">
        <v>460</v>
      </c>
      <c r="B28" s="6" t="b">
        <v>0</v>
      </c>
      <c r="C28" s="6" t="b">
        <v>0</v>
      </c>
      <c r="D28" s="6" t="b">
        <v>0</v>
      </c>
      <c r="E28" s="6" t="str">
        <f t="shared" si="4"/>
        <v>11a</v>
      </c>
      <c r="F28" s="6" t="b">
        <v>0</v>
      </c>
      <c r="G28" s="6" t="b">
        <v>0</v>
      </c>
      <c r="H28" s="6" t="b">
        <v>0</v>
      </c>
      <c r="I28" s="6" t="str">
        <f t="shared" si="5"/>
        <v>11a</v>
      </c>
      <c r="J28" s="6" t="b">
        <v>0</v>
      </c>
      <c r="K28" s="6" t="b">
        <v>1</v>
      </c>
      <c r="L28" s="6" t="b">
        <v>1</v>
      </c>
      <c r="M28" s="6" t="str">
        <f t="shared" si="6"/>
        <v>11a</v>
      </c>
      <c r="N28" s="6" t="b">
        <v>1</v>
      </c>
      <c r="O28" s="6" t="b">
        <v>0</v>
      </c>
      <c r="P28" s="6" t="b">
        <v>0</v>
      </c>
      <c r="Q28" s="6" t="str">
        <f t="shared" si="7"/>
        <v>11a</v>
      </c>
      <c r="R28" s="20">
        <f t="shared" si="0"/>
        <v>1234</v>
      </c>
      <c r="S28" s="20">
        <f t="shared" si="1"/>
        <v>234</v>
      </c>
      <c r="T28" s="20">
        <f t="shared" si="2"/>
        <v>234</v>
      </c>
      <c r="U28" s="6" t="str">
        <f t="shared" si="8"/>
        <v>11a</v>
      </c>
      <c r="V28" s="6" t="b">
        <v>0</v>
      </c>
      <c r="W28" s="6" t="b">
        <v>1</v>
      </c>
      <c r="X28" s="6" t="b">
        <v>1</v>
      </c>
      <c r="Y28" s="6" t="str">
        <f t="shared" si="3"/>
        <v>11a</v>
      </c>
      <c r="Z28" s="6" t="b">
        <v>0</v>
      </c>
      <c r="AA28" s="6" t="b">
        <v>0</v>
      </c>
      <c r="AB28" s="6" t="b">
        <v>0</v>
      </c>
      <c r="AC28" s="6" t="str">
        <f t="shared" si="9"/>
        <v>11a</v>
      </c>
      <c r="AD28" s="6">
        <f t="shared" si="10"/>
        <v>0</v>
      </c>
      <c r="AG28" s="6">
        <v>2</v>
      </c>
    </row>
    <row r="29" spans="1:33" ht="15">
      <c r="A29" s="19" t="s">
        <v>461</v>
      </c>
      <c r="B29" s="6" t="b">
        <v>0</v>
      </c>
      <c r="C29" s="6" t="b">
        <v>0</v>
      </c>
      <c r="D29" s="6" t="b">
        <v>0</v>
      </c>
      <c r="E29" s="6" t="str">
        <f t="shared" si="4"/>
        <v>11b</v>
      </c>
      <c r="F29" s="6" t="b">
        <v>0</v>
      </c>
      <c r="G29" s="6" t="b">
        <v>0</v>
      </c>
      <c r="H29" s="6" t="b">
        <v>0</v>
      </c>
      <c r="I29" s="6" t="str">
        <f t="shared" si="5"/>
        <v>11b</v>
      </c>
      <c r="J29" s="6" t="b">
        <v>0</v>
      </c>
      <c r="K29" s="6" t="b">
        <v>1</v>
      </c>
      <c r="L29" s="6" t="b">
        <v>1</v>
      </c>
      <c r="M29" s="6" t="str">
        <f t="shared" si="6"/>
        <v>11b</v>
      </c>
      <c r="N29" s="6" t="b">
        <v>1</v>
      </c>
      <c r="O29" s="6" t="b">
        <v>0</v>
      </c>
      <c r="P29" s="6" t="b">
        <v>0</v>
      </c>
      <c r="Q29" s="6" t="str">
        <f t="shared" si="7"/>
        <v>11b</v>
      </c>
      <c r="R29" s="20">
        <f t="shared" si="0"/>
        <v>1234</v>
      </c>
      <c r="S29" s="20">
        <f t="shared" si="1"/>
        <v>234</v>
      </c>
      <c r="T29" s="20">
        <f t="shared" si="2"/>
        <v>234</v>
      </c>
      <c r="U29" s="6" t="str">
        <f t="shared" si="8"/>
        <v>11b</v>
      </c>
      <c r="V29" s="6" t="b">
        <v>0</v>
      </c>
      <c r="W29" s="6" t="b">
        <v>1</v>
      </c>
      <c r="X29" s="6" t="b">
        <v>1</v>
      </c>
      <c r="Y29" s="6" t="str">
        <f t="shared" si="3"/>
        <v>11b</v>
      </c>
      <c r="Z29" s="6" t="b">
        <v>0</v>
      </c>
      <c r="AA29" s="6" t="b">
        <v>0</v>
      </c>
      <c r="AB29" s="6" t="b">
        <v>0</v>
      </c>
      <c r="AC29" s="6" t="str">
        <f t="shared" si="9"/>
        <v>11b</v>
      </c>
      <c r="AD29" s="6">
        <f t="shared" si="10"/>
        <v>0</v>
      </c>
      <c r="AG29" s="6">
        <v>2</v>
      </c>
    </row>
    <row r="30" spans="1:33" ht="15">
      <c r="A30" s="19" t="s">
        <v>462</v>
      </c>
      <c r="B30" s="6" t="b">
        <v>0</v>
      </c>
      <c r="C30" s="6" t="b">
        <v>0</v>
      </c>
      <c r="D30" s="6" t="b">
        <v>0</v>
      </c>
      <c r="E30" s="6" t="str">
        <f t="shared" si="4"/>
        <v>12a</v>
      </c>
      <c r="F30" s="6" t="b">
        <v>0</v>
      </c>
      <c r="G30" s="6" t="b">
        <v>0</v>
      </c>
      <c r="H30" s="6" t="b">
        <v>0</v>
      </c>
      <c r="I30" s="6" t="str">
        <f t="shared" si="5"/>
        <v>12a</v>
      </c>
      <c r="J30" s="6" t="b">
        <v>0</v>
      </c>
      <c r="K30" s="6" t="b">
        <v>1</v>
      </c>
      <c r="L30" s="6" t="b">
        <v>1</v>
      </c>
      <c r="M30" s="6" t="str">
        <f t="shared" si="6"/>
        <v>12a</v>
      </c>
      <c r="N30" s="6" t="b">
        <v>1</v>
      </c>
      <c r="O30" s="6" t="b">
        <v>0</v>
      </c>
      <c r="P30" s="6" t="b">
        <v>0</v>
      </c>
      <c r="Q30" s="6" t="str">
        <f t="shared" si="7"/>
        <v>12a</v>
      </c>
      <c r="R30" s="20">
        <f t="shared" si="0"/>
        <v>1234</v>
      </c>
      <c r="S30" s="20">
        <f t="shared" si="1"/>
        <v>234</v>
      </c>
      <c r="T30" s="20">
        <f t="shared" si="2"/>
        <v>234</v>
      </c>
      <c r="U30" s="6" t="str">
        <f t="shared" si="8"/>
        <v>12a</v>
      </c>
      <c r="V30" s="6" t="b">
        <v>1</v>
      </c>
      <c r="W30" s="6" t="b">
        <v>1</v>
      </c>
      <c r="X30" s="6" t="b">
        <v>1</v>
      </c>
      <c r="Y30" s="6" t="str">
        <f t="shared" si="3"/>
        <v>12a</v>
      </c>
      <c r="Z30" s="6" t="b">
        <v>0</v>
      </c>
      <c r="AA30" s="6" t="b">
        <v>0</v>
      </c>
      <c r="AB30" s="6" t="b">
        <v>0</v>
      </c>
      <c r="AC30" s="6" t="str">
        <f t="shared" si="9"/>
        <v>12a</v>
      </c>
      <c r="AD30" s="6">
        <f t="shared" si="10"/>
        <v>2</v>
      </c>
      <c r="AG30" s="6">
        <v>2</v>
      </c>
    </row>
    <row r="31" spans="1:33" ht="15">
      <c r="A31" s="19" t="s">
        <v>463</v>
      </c>
      <c r="B31" s="6" t="b">
        <v>0</v>
      </c>
      <c r="C31" s="6" t="b">
        <v>0</v>
      </c>
      <c r="D31" s="6" t="b">
        <v>0</v>
      </c>
      <c r="E31" s="6" t="str">
        <f t="shared" si="4"/>
        <v>12b</v>
      </c>
      <c r="F31" s="6" t="b">
        <v>0</v>
      </c>
      <c r="G31" s="6" t="b">
        <v>0</v>
      </c>
      <c r="H31" s="6" t="b">
        <v>0</v>
      </c>
      <c r="I31" s="6" t="str">
        <f t="shared" si="5"/>
        <v>12b</v>
      </c>
      <c r="J31" s="6" t="b">
        <v>0</v>
      </c>
      <c r="K31" s="6" t="b">
        <v>1</v>
      </c>
      <c r="L31" s="6" t="b">
        <v>1</v>
      </c>
      <c r="M31" s="6" t="str">
        <f t="shared" si="6"/>
        <v>12b</v>
      </c>
      <c r="N31" s="6" t="b">
        <v>1</v>
      </c>
      <c r="O31" s="6" t="b">
        <v>0</v>
      </c>
      <c r="P31" s="6" t="b">
        <v>0</v>
      </c>
      <c r="Q31" s="6" t="str">
        <f t="shared" si="7"/>
        <v>12b</v>
      </c>
      <c r="R31" s="20">
        <f t="shared" si="0"/>
        <v>1234</v>
      </c>
      <c r="S31" s="20">
        <f t="shared" si="1"/>
        <v>234</v>
      </c>
      <c r="T31" s="20">
        <f t="shared" si="2"/>
        <v>234</v>
      </c>
      <c r="U31" s="6" t="str">
        <f t="shared" si="8"/>
        <v>12b</v>
      </c>
      <c r="V31" s="6" t="b">
        <v>1</v>
      </c>
      <c r="W31" s="6" t="b">
        <v>1</v>
      </c>
      <c r="X31" s="6" t="b">
        <v>1</v>
      </c>
      <c r="Y31" s="6" t="str">
        <f t="shared" si="3"/>
        <v>12b</v>
      </c>
      <c r="Z31" s="6" t="b">
        <v>0</v>
      </c>
      <c r="AA31" s="6" t="b">
        <v>0</v>
      </c>
      <c r="AB31" s="6" t="b">
        <v>0</v>
      </c>
      <c r="AC31" s="6" t="str">
        <f t="shared" si="9"/>
        <v>12b</v>
      </c>
      <c r="AD31" s="6">
        <f t="shared" si="10"/>
        <v>0</v>
      </c>
      <c r="AG31" s="6">
        <v>2</v>
      </c>
    </row>
    <row r="32" spans="1:33" ht="15">
      <c r="A32" s="19" t="s">
        <v>464</v>
      </c>
      <c r="B32" s="6" t="b">
        <v>0</v>
      </c>
      <c r="C32" s="6" t="b">
        <v>0</v>
      </c>
      <c r="D32" s="6" t="b">
        <v>0</v>
      </c>
      <c r="E32" s="6" t="str">
        <f t="shared" si="4"/>
        <v>12c</v>
      </c>
      <c r="F32" s="6" t="b">
        <v>0</v>
      </c>
      <c r="G32" s="6" t="b">
        <v>0</v>
      </c>
      <c r="H32" s="6" t="b">
        <v>0</v>
      </c>
      <c r="I32" s="6" t="str">
        <f t="shared" si="5"/>
        <v>12c</v>
      </c>
      <c r="J32" s="6" t="b">
        <v>0</v>
      </c>
      <c r="K32" s="6" t="b">
        <v>1</v>
      </c>
      <c r="L32" s="6" t="b">
        <v>1</v>
      </c>
      <c r="M32" s="6" t="str">
        <f t="shared" si="6"/>
        <v>12c</v>
      </c>
      <c r="N32" s="6" t="b">
        <v>1</v>
      </c>
      <c r="O32" s="6" t="b">
        <v>0</v>
      </c>
      <c r="P32" s="6" t="b">
        <v>0</v>
      </c>
      <c r="Q32" s="6" t="str">
        <f t="shared" si="7"/>
        <v>12c</v>
      </c>
      <c r="R32" s="20">
        <f t="shared" si="0"/>
        <v>1234</v>
      </c>
      <c r="S32" s="20">
        <f t="shared" si="1"/>
        <v>234</v>
      </c>
      <c r="T32" s="20">
        <f t="shared" si="2"/>
        <v>234</v>
      </c>
      <c r="U32" s="6" t="str">
        <f t="shared" si="8"/>
        <v>12c</v>
      </c>
      <c r="V32" s="6" t="b">
        <v>1</v>
      </c>
      <c r="W32" s="6" t="b">
        <v>1</v>
      </c>
      <c r="X32" s="6" t="b">
        <v>1</v>
      </c>
      <c r="Y32" s="6" t="str">
        <f t="shared" si="3"/>
        <v>12c</v>
      </c>
      <c r="Z32" s="6" t="b">
        <v>0</v>
      </c>
      <c r="AA32" s="6" t="b">
        <v>0</v>
      </c>
      <c r="AB32" s="6" t="b">
        <v>0</v>
      </c>
      <c r="AC32" s="6" t="str">
        <f t="shared" si="9"/>
        <v>12c</v>
      </c>
      <c r="AD32" s="6">
        <f t="shared" si="10"/>
        <v>0</v>
      </c>
      <c r="AG32" s="6">
        <v>2</v>
      </c>
    </row>
    <row r="33" spans="1:33" ht="15">
      <c r="A33" s="19" t="s">
        <v>465</v>
      </c>
      <c r="B33" s="6" t="b">
        <v>0</v>
      </c>
      <c r="C33" s="6" t="b">
        <v>1</v>
      </c>
      <c r="D33" s="6" t="b">
        <v>1</v>
      </c>
      <c r="E33" s="6" t="str">
        <f t="shared" si="4"/>
        <v>13a</v>
      </c>
      <c r="F33" s="6" t="b">
        <v>0</v>
      </c>
      <c r="G33" s="6" t="b">
        <v>0</v>
      </c>
      <c r="H33" s="6" t="b">
        <v>0</v>
      </c>
      <c r="I33" s="6" t="str">
        <f t="shared" si="5"/>
        <v>13a</v>
      </c>
      <c r="J33" s="6" t="b">
        <v>0</v>
      </c>
      <c r="K33" s="6" t="b">
        <v>0</v>
      </c>
      <c r="L33" s="6" t="b">
        <v>0</v>
      </c>
      <c r="M33" s="6" t="str">
        <f t="shared" si="6"/>
        <v>13a</v>
      </c>
      <c r="N33" s="6" t="b">
        <v>1</v>
      </c>
      <c r="O33" s="6" t="b">
        <v>0</v>
      </c>
      <c r="P33" s="6" t="b">
        <v>0</v>
      </c>
      <c r="Q33" s="6" t="str">
        <f t="shared" si="7"/>
        <v>13a</v>
      </c>
      <c r="R33" s="20">
        <f t="shared" si="0"/>
        <v>1234</v>
      </c>
      <c r="S33" s="20">
        <f t="shared" si="1"/>
        <v>34</v>
      </c>
      <c r="T33" s="20">
        <f t="shared" si="2"/>
        <v>34</v>
      </c>
      <c r="U33" s="6" t="str">
        <f t="shared" si="8"/>
        <v>13a</v>
      </c>
      <c r="V33" s="6" t="b">
        <v>0</v>
      </c>
      <c r="W33" s="6" t="b">
        <v>1</v>
      </c>
      <c r="X33" s="6" t="b">
        <v>1</v>
      </c>
      <c r="Y33" s="6" t="str">
        <f t="shared" si="3"/>
        <v>13a</v>
      </c>
      <c r="Z33" s="6" t="b">
        <v>0</v>
      </c>
      <c r="AA33" s="6" t="b">
        <v>0</v>
      </c>
      <c r="AB33" s="6" t="b">
        <v>0</v>
      </c>
      <c r="AC33" s="6" t="str">
        <f t="shared" si="9"/>
        <v>13a</v>
      </c>
      <c r="AD33" s="6">
        <f t="shared" si="10"/>
        <v>0</v>
      </c>
      <c r="AG33" s="6">
        <v>3</v>
      </c>
    </row>
    <row r="34" spans="1:33" ht="15">
      <c r="A34" s="19" t="s">
        <v>466</v>
      </c>
      <c r="B34" s="6" t="b">
        <v>0</v>
      </c>
      <c r="C34" s="6" t="b">
        <v>1</v>
      </c>
      <c r="D34" s="6" t="b">
        <v>1</v>
      </c>
      <c r="E34" s="6" t="str">
        <f t="shared" si="4"/>
        <v>13b</v>
      </c>
      <c r="F34" s="6" t="b">
        <v>0</v>
      </c>
      <c r="G34" s="6" t="b">
        <v>0</v>
      </c>
      <c r="H34" s="6" t="b">
        <v>0</v>
      </c>
      <c r="I34" s="6" t="str">
        <f t="shared" si="5"/>
        <v>13b</v>
      </c>
      <c r="J34" s="6" t="b">
        <v>0</v>
      </c>
      <c r="K34" s="6" t="b">
        <v>0</v>
      </c>
      <c r="L34" s="6" t="b">
        <v>0</v>
      </c>
      <c r="M34" s="6" t="str">
        <f t="shared" si="6"/>
        <v>13b</v>
      </c>
      <c r="N34" s="6" t="b">
        <v>1</v>
      </c>
      <c r="O34" s="6" t="b">
        <v>0</v>
      </c>
      <c r="P34" s="6" t="b">
        <v>0</v>
      </c>
      <c r="Q34" s="6" t="str">
        <f t="shared" si="7"/>
        <v>13b</v>
      </c>
      <c r="R34" s="20">
        <f t="shared" si="0"/>
        <v>1234</v>
      </c>
      <c r="S34" s="20">
        <f t="shared" si="1"/>
        <v>34</v>
      </c>
      <c r="T34" s="20">
        <f t="shared" si="2"/>
        <v>34</v>
      </c>
      <c r="U34" s="6" t="str">
        <f t="shared" si="8"/>
        <v>13b</v>
      </c>
      <c r="V34" s="6" t="b">
        <v>0</v>
      </c>
      <c r="W34" s="6" t="b">
        <v>1</v>
      </c>
      <c r="X34" s="6" t="b">
        <v>1</v>
      </c>
      <c r="Y34" s="6" t="str">
        <f t="shared" si="3"/>
        <v>13b</v>
      </c>
      <c r="Z34" s="6" t="b">
        <v>0</v>
      </c>
      <c r="AA34" s="6" t="b">
        <v>0</v>
      </c>
      <c r="AB34" s="6" t="b">
        <v>0</v>
      </c>
      <c r="AC34" s="6" t="str">
        <f t="shared" si="9"/>
        <v>13b</v>
      </c>
      <c r="AD34" s="6">
        <f t="shared" si="10"/>
        <v>0</v>
      </c>
      <c r="AG34" s="6">
        <v>3</v>
      </c>
    </row>
    <row r="35" spans="1:33" ht="15">
      <c r="A35" s="19" t="s">
        <v>467</v>
      </c>
      <c r="B35" s="6" t="b">
        <v>0</v>
      </c>
      <c r="C35" s="6" t="b">
        <v>0</v>
      </c>
      <c r="D35" s="6" t="b">
        <v>1</v>
      </c>
      <c r="E35" s="6" t="str">
        <f t="shared" si="4"/>
        <v>13c</v>
      </c>
      <c r="F35" s="6" t="b">
        <v>0</v>
      </c>
      <c r="G35" s="6" t="b">
        <v>0</v>
      </c>
      <c r="H35" s="6" t="b">
        <v>0</v>
      </c>
      <c r="I35" s="6" t="str">
        <f t="shared" si="5"/>
        <v>13c</v>
      </c>
      <c r="J35" s="6" t="b">
        <v>0</v>
      </c>
      <c r="K35" s="6" t="b">
        <v>0</v>
      </c>
      <c r="L35" s="6" t="b">
        <v>0</v>
      </c>
      <c r="M35" s="6" t="str">
        <f t="shared" si="6"/>
        <v>13c</v>
      </c>
      <c r="N35" s="6" t="b">
        <v>1</v>
      </c>
      <c r="O35" s="6" t="b">
        <v>0</v>
      </c>
      <c r="P35" s="6" t="b">
        <v>0</v>
      </c>
      <c r="Q35" s="6" t="str">
        <f t="shared" si="7"/>
        <v>13c</v>
      </c>
      <c r="R35" s="20">
        <f aca="true" t="shared" si="11" ref="R35:R53">IF(B35,scores_must,IF(N35,scores_gewoon_1,IF(J35,scores_gewoon,IF(F35,scores_must_tijdelijk,IF(Z35,scores_ontwikkel,"")))))</f>
        <v>1234</v>
      </c>
      <c r="S35" s="20">
        <f aca="true" t="shared" si="12" ref="S35:S53">IF(C35,scores_must,IF(O35,scores_gewoon_1,IF(K35,scores_gewoon,IF(G35,scores_must_tijdelijk,IF(AA35,scores_ontwikkel,"")))))</f>
        <v>1234</v>
      </c>
      <c r="T35" s="20">
        <f aca="true" t="shared" si="13" ref="T35:T53">IF(D35,scores_must,IF(P35,scores_gewoon_1,IF(L35,scores_gewoon,IF(H35,scores_must_tijdelijk,IF(AB35,scores_ontwikkel,"")))))</f>
        <v>34</v>
      </c>
      <c r="U35" s="6" t="str">
        <f t="shared" si="8"/>
        <v>13c</v>
      </c>
      <c r="V35" s="6" t="b">
        <v>0</v>
      </c>
      <c r="W35" s="6" t="b">
        <v>1</v>
      </c>
      <c r="X35" s="6" t="b">
        <v>1</v>
      </c>
      <c r="Y35" s="6" t="str">
        <f t="shared" si="3"/>
        <v>13c</v>
      </c>
      <c r="Z35" s="6" t="b">
        <v>0</v>
      </c>
      <c r="AA35" s="6" t="b">
        <v>1</v>
      </c>
      <c r="AB35" s="6" t="b">
        <v>0</v>
      </c>
      <c r="AC35" s="6" t="str">
        <f t="shared" si="9"/>
        <v>13c</v>
      </c>
      <c r="AD35" s="6">
        <f t="shared" si="10"/>
        <v>0</v>
      </c>
      <c r="AG35" s="6">
        <v>3</v>
      </c>
    </row>
    <row r="36" spans="1:33" ht="15">
      <c r="A36" s="19" t="s">
        <v>468</v>
      </c>
      <c r="B36" s="6" t="b">
        <v>0</v>
      </c>
      <c r="C36" s="6" t="b">
        <v>0</v>
      </c>
      <c r="D36" s="6" t="b">
        <v>0</v>
      </c>
      <c r="E36" s="6" t="str">
        <f t="shared" si="4"/>
        <v>13d</v>
      </c>
      <c r="F36" s="6" t="b">
        <v>0</v>
      </c>
      <c r="G36" s="6" t="b">
        <v>0</v>
      </c>
      <c r="H36" s="6" t="b">
        <v>0</v>
      </c>
      <c r="I36" s="6" t="str">
        <f t="shared" si="5"/>
        <v>13d</v>
      </c>
      <c r="J36" s="6" t="b">
        <v>0</v>
      </c>
      <c r="K36" s="6" t="b">
        <v>1</v>
      </c>
      <c r="L36" s="6" t="b">
        <v>1</v>
      </c>
      <c r="M36" s="6" t="str">
        <f t="shared" si="6"/>
        <v>13d</v>
      </c>
      <c r="N36" s="6" t="b">
        <v>1</v>
      </c>
      <c r="O36" s="6" t="b">
        <v>0</v>
      </c>
      <c r="P36" s="6" t="b">
        <v>0</v>
      </c>
      <c r="Q36" s="6" t="str">
        <f t="shared" si="7"/>
        <v>13d</v>
      </c>
      <c r="R36" s="20">
        <f t="shared" si="11"/>
        <v>1234</v>
      </c>
      <c r="S36" s="20">
        <f t="shared" si="12"/>
        <v>234</v>
      </c>
      <c r="T36" s="20">
        <f t="shared" si="13"/>
        <v>234</v>
      </c>
      <c r="U36" s="6" t="str">
        <f t="shared" si="8"/>
        <v>13d</v>
      </c>
      <c r="V36" s="6" t="b">
        <v>0</v>
      </c>
      <c r="W36" s="6" t="b">
        <v>1</v>
      </c>
      <c r="X36" s="6" t="b">
        <v>1</v>
      </c>
      <c r="Y36" s="6" t="str">
        <f t="shared" si="3"/>
        <v>13d</v>
      </c>
      <c r="Z36" s="6" t="b">
        <v>0</v>
      </c>
      <c r="AA36" s="6" t="b">
        <v>0</v>
      </c>
      <c r="AB36" s="6" t="b">
        <v>0</v>
      </c>
      <c r="AC36" s="6" t="str">
        <f t="shared" si="9"/>
        <v>13d</v>
      </c>
      <c r="AD36" s="6">
        <f t="shared" si="10"/>
        <v>0</v>
      </c>
      <c r="AG36" s="6">
        <v>3</v>
      </c>
    </row>
    <row r="37" spans="1:33" ht="15">
      <c r="A37" s="19" t="s">
        <v>469</v>
      </c>
      <c r="B37" s="6" t="b">
        <v>0</v>
      </c>
      <c r="C37" s="6" t="b">
        <v>1</v>
      </c>
      <c r="D37" s="6" t="b">
        <v>1</v>
      </c>
      <c r="E37" s="6" t="str">
        <f t="shared" si="4"/>
        <v>13e</v>
      </c>
      <c r="F37" s="6" t="b">
        <v>0</v>
      </c>
      <c r="G37" s="6" t="b">
        <v>0</v>
      </c>
      <c r="H37" s="6" t="b">
        <v>0</v>
      </c>
      <c r="I37" s="6" t="str">
        <f t="shared" si="5"/>
        <v>13e</v>
      </c>
      <c r="J37" s="6" t="b">
        <v>0</v>
      </c>
      <c r="K37" s="6" t="b">
        <v>0</v>
      </c>
      <c r="L37" s="6" t="b">
        <v>0</v>
      </c>
      <c r="M37" s="6" t="str">
        <f t="shared" si="6"/>
        <v>13e</v>
      </c>
      <c r="N37" s="6" t="b">
        <v>1</v>
      </c>
      <c r="O37" s="6" t="b">
        <v>0</v>
      </c>
      <c r="P37" s="6" t="b">
        <v>0</v>
      </c>
      <c r="Q37" s="6" t="str">
        <f t="shared" si="7"/>
        <v>13e</v>
      </c>
      <c r="R37" s="20">
        <f t="shared" si="11"/>
        <v>1234</v>
      </c>
      <c r="S37" s="20">
        <f t="shared" si="12"/>
        <v>34</v>
      </c>
      <c r="T37" s="20">
        <f t="shared" si="13"/>
        <v>34</v>
      </c>
      <c r="U37" s="6" t="str">
        <f t="shared" si="8"/>
        <v>13e</v>
      </c>
      <c r="V37" s="6" t="b">
        <v>0</v>
      </c>
      <c r="W37" s="6" t="b">
        <v>1</v>
      </c>
      <c r="X37" s="6" t="b">
        <v>1</v>
      </c>
      <c r="Y37" s="6" t="str">
        <f t="shared" si="3"/>
        <v>13e</v>
      </c>
      <c r="Z37" s="6" t="b">
        <v>0</v>
      </c>
      <c r="AA37" s="6" t="b">
        <v>0</v>
      </c>
      <c r="AB37" s="6" t="b">
        <v>0</v>
      </c>
      <c r="AC37" s="6" t="str">
        <f t="shared" si="9"/>
        <v>13e</v>
      </c>
      <c r="AD37" s="6">
        <f t="shared" si="10"/>
        <v>0</v>
      </c>
      <c r="AG37" s="6">
        <v>3</v>
      </c>
    </row>
    <row r="38" spans="1:33" ht="15">
      <c r="A38" s="19" t="s">
        <v>470</v>
      </c>
      <c r="B38" s="6" t="b">
        <v>0</v>
      </c>
      <c r="C38" s="6" t="b">
        <v>0</v>
      </c>
      <c r="D38" s="6" t="b">
        <v>0</v>
      </c>
      <c r="E38" s="6" t="str">
        <f t="shared" si="4"/>
        <v>14a</v>
      </c>
      <c r="F38" s="6" t="b">
        <v>0</v>
      </c>
      <c r="G38" s="6" t="b">
        <v>0</v>
      </c>
      <c r="H38" s="6" t="b">
        <v>0</v>
      </c>
      <c r="I38" s="6" t="str">
        <f t="shared" si="5"/>
        <v>14a</v>
      </c>
      <c r="J38" s="6" t="b">
        <v>0</v>
      </c>
      <c r="K38" s="6" t="b">
        <v>1</v>
      </c>
      <c r="L38" s="6" t="b">
        <v>1</v>
      </c>
      <c r="M38" s="6" t="str">
        <f t="shared" si="6"/>
        <v>14a</v>
      </c>
      <c r="N38" s="6" t="b">
        <v>1</v>
      </c>
      <c r="O38" s="6" t="b">
        <v>0</v>
      </c>
      <c r="P38" s="6" t="b">
        <v>0</v>
      </c>
      <c r="Q38" s="6" t="str">
        <f t="shared" si="7"/>
        <v>14a</v>
      </c>
      <c r="R38" s="20">
        <f t="shared" si="11"/>
        <v>1234</v>
      </c>
      <c r="S38" s="20">
        <f t="shared" si="12"/>
        <v>234</v>
      </c>
      <c r="T38" s="20">
        <f t="shared" si="13"/>
        <v>234</v>
      </c>
      <c r="U38" s="6" t="str">
        <f t="shared" si="8"/>
        <v>14a</v>
      </c>
      <c r="V38" s="6" t="b">
        <v>0</v>
      </c>
      <c r="W38" s="6" t="b">
        <v>1</v>
      </c>
      <c r="X38" s="6" t="b">
        <v>1</v>
      </c>
      <c r="Y38" s="6" t="str">
        <f t="shared" si="3"/>
        <v>14a</v>
      </c>
      <c r="Z38" s="6" t="b">
        <v>0</v>
      </c>
      <c r="AA38" s="6" t="b">
        <v>0</v>
      </c>
      <c r="AB38" s="6" t="b">
        <v>0</v>
      </c>
      <c r="AC38" s="6" t="str">
        <f t="shared" si="9"/>
        <v>14a</v>
      </c>
      <c r="AD38" s="6">
        <f t="shared" si="10"/>
        <v>0</v>
      </c>
      <c r="AG38" s="6">
        <v>4</v>
      </c>
    </row>
    <row r="39" spans="1:33" ht="15">
      <c r="A39" s="19" t="s">
        <v>471</v>
      </c>
      <c r="B39" s="6" t="b">
        <v>0</v>
      </c>
      <c r="C39" s="6" t="b">
        <v>0</v>
      </c>
      <c r="D39" s="6" t="b">
        <v>0</v>
      </c>
      <c r="E39" s="6" t="str">
        <f t="shared" si="4"/>
        <v>14b</v>
      </c>
      <c r="F39" s="6" t="b">
        <v>0</v>
      </c>
      <c r="G39" s="6" t="b">
        <v>0</v>
      </c>
      <c r="H39" s="6" t="b">
        <v>0</v>
      </c>
      <c r="I39" s="6" t="str">
        <f t="shared" si="5"/>
        <v>14b</v>
      </c>
      <c r="J39" s="6" t="b">
        <v>0</v>
      </c>
      <c r="K39" s="6" t="b">
        <v>0</v>
      </c>
      <c r="L39" s="6" t="b">
        <v>0</v>
      </c>
      <c r="M39" s="6" t="str">
        <f t="shared" si="6"/>
        <v>14b</v>
      </c>
      <c r="N39" s="6" t="b">
        <v>1</v>
      </c>
      <c r="O39" s="6" t="b">
        <v>0</v>
      </c>
      <c r="P39" s="6" t="b">
        <v>1</v>
      </c>
      <c r="Q39" s="6" t="str">
        <f t="shared" si="7"/>
        <v>14b</v>
      </c>
      <c r="R39" s="20">
        <f t="shared" si="11"/>
        <v>1234</v>
      </c>
      <c r="S39" s="20">
        <f t="shared" si="12"/>
        <v>1234</v>
      </c>
      <c r="T39" s="20">
        <f t="shared" si="13"/>
        <v>1234</v>
      </c>
      <c r="U39" s="6" t="str">
        <f t="shared" si="8"/>
        <v>14b</v>
      </c>
      <c r="V39" s="6" t="b">
        <v>0</v>
      </c>
      <c r="W39" s="6" t="b">
        <v>1</v>
      </c>
      <c r="X39" s="6" t="b">
        <v>1</v>
      </c>
      <c r="Y39" s="6" t="str">
        <f t="shared" si="3"/>
        <v>14b</v>
      </c>
      <c r="Z39" s="6" t="b">
        <v>0</v>
      </c>
      <c r="AA39" s="6" t="b">
        <v>1</v>
      </c>
      <c r="AB39" s="6" t="b">
        <v>0</v>
      </c>
      <c r="AC39" s="6" t="str">
        <f t="shared" si="9"/>
        <v>14b</v>
      </c>
      <c r="AD39" s="6">
        <f t="shared" si="10"/>
        <v>0</v>
      </c>
      <c r="AG39" s="6">
        <v>4</v>
      </c>
    </row>
    <row r="40" spans="1:33" ht="15">
      <c r="A40" s="19" t="s">
        <v>472</v>
      </c>
      <c r="B40" s="6" t="b">
        <v>0</v>
      </c>
      <c r="C40" s="6" t="b">
        <v>0</v>
      </c>
      <c r="D40" s="6" t="b">
        <v>0</v>
      </c>
      <c r="E40" s="6" t="str">
        <f t="shared" si="4"/>
        <v>14c</v>
      </c>
      <c r="F40" s="6" t="b">
        <v>0</v>
      </c>
      <c r="G40" s="6" t="b">
        <v>0</v>
      </c>
      <c r="H40" s="6" t="b">
        <v>0</v>
      </c>
      <c r="I40" s="6" t="str">
        <f t="shared" si="5"/>
        <v>14c</v>
      </c>
      <c r="J40" s="6" t="b">
        <v>0</v>
      </c>
      <c r="K40" s="6" t="b">
        <v>1</v>
      </c>
      <c r="L40" s="6" t="b">
        <v>1</v>
      </c>
      <c r="M40" s="6" t="str">
        <f t="shared" si="6"/>
        <v>14c</v>
      </c>
      <c r="N40" s="6" t="b">
        <v>1</v>
      </c>
      <c r="O40" s="6" t="b">
        <v>0</v>
      </c>
      <c r="P40" s="6" t="b">
        <v>0</v>
      </c>
      <c r="Q40" s="6" t="str">
        <f t="shared" si="7"/>
        <v>14c</v>
      </c>
      <c r="R40" s="20">
        <f t="shared" si="11"/>
        <v>1234</v>
      </c>
      <c r="S40" s="20">
        <f t="shared" si="12"/>
        <v>234</v>
      </c>
      <c r="T40" s="20">
        <f t="shared" si="13"/>
        <v>234</v>
      </c>
      <c r="U40" s="6" t="str">
        <f t="shared" si="8"/>
        <v>14c</v>
      </c>
      <c r="V40" s="6" t="b">
        <v>0</v>
      </c>
      <c r="W40" s="6" t="b">
        <v>1</v>
      </c>
      <c r="X40" s="6" t="b">
        <v>1</v>
      </c>
      <c r="Y40" s="6" t="str">
        <f t="shared" si="3"/>
        <v>14c</v>
      </c>
      <c r="Z40" s="6" t="b">
        <v>0</v>
      </c>
      <c r="AA40" s="6" t="b">
        <v>0</v>
      </c>
      <c r="AB40" s="6" t="b">
        <v>0</v>
      </c>
      <c r="AC40" s="6" t="str">
        <f t="shared" si="9"/>
        <v>14c</v>
      </c>
      <c r="AD40" s="6">
        <f t="shared" si="10"/>
        <v>0</v>
      </c>
      <c r="AG40" s="6">
        <v>4</v>
      </c>
    </row>
    <row r="41" spans="1:33" ht="15">
      <c r="A41" s="19" t="s">
        <v>473</v>
      </c>
      <c r="B41" s="6" t="b">
        <v>0</v>
      </c>
      <c r="C41" s="6" t="b">
        <v>0</v>
      </c>
      <c r="D41" s="6" t="b">
        <v>0</v>
      </c>
      <c r="E41" s="6" t="str">
        <f t="shared" si="4"/>
        <v>14d</v>
      </c>
      <c r="F41" s="6" t="b">
        <v>0</v>
      </c>
      <c r="G41" s="6" t="b">
        <v>0</v>
      </c>
      <c r="H41" s="6" t="b">
        <v>0</v>
      </c>
      <c r="I41" s="6" t="str">
        <f t="shared" si="5"/>
        <v>14d</v>
      </c>
      <c r="J41" s="6" t="b">
        <v>0</v>
      </c>
      <c r="K41" s="6" t="b">
        <v>0</v>
      </c>
      <c r="L41" s="6" t="b">
        <v>0</v>
      </c>
      <c r="M41" s="6" t="str">
        <f t="shared" si="6"/>
        <v>14d</v>
      </c>
      <c r="N41" s="6" t="b">
        <v>1</v>
      </c>
      <c r="O41" s="6" t="b">
        <v>1</v>
      </c>
      <c r="P41" s="6" t="b">
        <v>1</v>
      </c>
      <c r="Q41" s="6" t="str">
        <f t="shared" si="7"/>
        <v>14d</v>
      </c>
      <c r="R41" s="20">
        <f t="shared" si="11"/>
        <v>1234</v>
      </c>
      <c r="S41" s="20">
        <f t="shared" si="12"/>
        <v>1234</v>
      </c>
      <c r="T41" s="20">
        <f t="shared" si="13"/>
        <v>1234</v>
      </c>
      <c r="U41" s="6" t="str">
        <f t="shared" si="8"/>
        <v>14d</v>
      </c>
      <c r="V41" s="6" t="b">
        <v>0</v>
      </c>
      <c r="W41" s="6" t="b">
        <v>1</v>
      </c>
      <c r="X41" s="6" t="b">
        <v>1</v>
      </c>
      <c r="Y41" s="6" t="str">
        <f t="shared" si="3"/>
        <v>14d</v>
      </c>
      <c r="Z41" s="6" t="b">
        <v>0</v>
      </c>
      <c r="AA41" s="6" t="b">
        <v>0</v>
      </c>
      <c r="AB41" s="6" t="b">
        <v>0</v>
      </c>
      <c r="AC41" s="6" t="str">
        <f t="shared" si="9"/>
        <v>14d</v>
      </c>
      <c r="AD41" s="6">
        <f t="shared" si="10"/>
        <v>0</v>
      </c>
      <c r="AG41" s="6">
        <v>4</v>
      </c>
    </row>
    <row r="42" spans="1:33" ht="15">
      <c r="A42" s="19" t="s">
        <v>474</v>
      </c>
      <c r="B42" s="6" t="b">
        <v>0</v>
      </c>
      <c r="C42" s="6" t="b">
        <v>0</v>
      </c>
      <c r="D42" s="6" t="b">
        <v>0</v>
      </c>
      <c r="E42" s="6" t="str">
        <f t="shared" si="4"/>
        <v>14e</v>
      </c>
      <c r="F42" s="6" t="b">
        <v>0</v>
      </c>
      <c r="G42" s="6" t="b">
        <v>0</v>
      </c>
      <c r="H42" s="6" t="b">
        <v>0</v>
      </c>
      <c r="I42" s="6" t="str">
        <f t="shared" si="5"/>
        <v>14e</v>
      </c>
      <c r="J42" s="6" t="b">
        <v>0</v>
      </c>
      <c r="K42" s="6" t="b">
        <v>1</v>
      </c>
      <c r="L42" s="6" t="b">
        <v>1</v>
      </c>
      <c r="M42" s="6" t="str">
        <f t="shared" si="6"/>
        <v>14e</v>
      </c>
      <c r="N42" s="6" t="b">
        <v>1</v>
      </c>
      <c r="O42" s="6" t="b">
        <v>0</v>
      </c>
      <c r="P42" s="6" t="b">
        <v>0</v>
      </c>
      <c r="Q42" s="6" t="str">
        <f t="shared" si="7"/>
        <v>14e</v>
      </c>
      <c r="R42" s="20">
        <f t="shared" si="11"/>
        <v>1234</v>
      </c>
      <c r="S42" s="20">
        <f t="shared" si="12"/>
        <v>234</v>
      </c>
      <c r="T42" s="20">
        <f t="shared" si="13"/>
        <v>234</v>
      </c>
      <c r="U42" s="6" t="str">
        <f t="shared" si="8"/>
        <v>14e</v>
      </c>
      <c r="V42" s="6" t="b">
        <v>0</v>
      </c>
      <c r="W42" s="6" t="b">
        <v>1</v>
      </c>
      <c r="X42" s="6" t="b">
        <v>1</v>
      </c>
      <c r="Y42" s="6" t="str">
        <f t="shared" si="3"/>
        <v>14e</v>
      </c>
      <c r="Z42" s="6" t="b">
        <v>0</v>
      </c>
      <c r="AA42" s="6" t="b">
        <v>0</v>
      </c>
      <c r="AB42" s="6" t="b">
        <v>0</v>
      </c>
      <c r="AC42" s="6" t="str">
        <f t="shared" si="9"/>
        <v>14e</v>
      </c>
      <c r="AD42" s="6">
        <f t="shared" si="10"/>
        <v>0</v>
      </c>
      <c r="AG42" s="6">
        <v>4</v>
      </c>
    </row>
    <row r="43" spans="1:33" ht="15">
      <c r="A43" s="19" t="s">
        <v>475</v>
      </c>
      <c r="B43" s="6" t="b">
        <v>0</v>
      </c>
      <c r="C43" s="6" t="b">
        <v>0</v>
      </c>
      <c r="D43" s="6" t="b">
        <v>0</v>
      </c>
      <c r="E43" s="6" t="str">
        <f t="shared" si="4"/>
        <v>15a</v>
      </c>
      <c r="F43" s="6" t="b">
        <v>0</v>
      </c>
      <c r="G43" s="6" t="b">
        <v>0</v>
      </c>
      <c r="H43" s="6" t="b">
        <v>0</v>
      </c>
      <c r="I43" s="6" t="str">
        <f t="shared" si="5"/>
        <v>15a</v>
      </c>
      <c r="J43" s="6" t="b">
        <v>0</v>
      </c>
      <c r="K43" s="6" t="b">
        <v>1</v>
      </c>
      <c r="L43" s="6" t="b">
        <v>1</v>
      </c>
      <c r="M43" s="6" t="str">
        <f t="shared" si="6"/>
        <v>15a</v>
      </c>
      <c r="N43" s="6" t="b">
        <v>1</v>
      </c>
      <c r="O43" s="6" t="b">
        <v>0</v>
      </c>
      <c r="P43" s="6" t="b">
        <v>0</v>
      </c>
      <c r="Q43" s="6" t="str">
        <f t="shared" si="7"/>
        <v>15a</v>
      </c>
      <c r="R43" s="20">
        <f t="shared" si="11"/>
        <v>1234</v>
      </c>
      <c r="S43" s="20">
        <f t="shared" si="12"/>
        <v>234</v>
      </c>
      <c r="T43" s="20">
        <f t="shared" si="13"/>
        <v>234</v>
      </c>
      <c r="U43" s="6" t="str">
        <f t="shared" si="8"/>
        <v>15a</v>
      </c>
      <c r="V43" s="6" t="b">
        <v>1</v>
      </c>
      <c r="W43" s="6" t="b">
        <v>1</v>
      </c>
      <c r="X43" s="6" t="b">
        <v>1</v>
      </c>
      <c r="Y43" s="6" t="str">
        <f t="shared" si="3"/>
        <v>15a</v>
      </c>
      <c r="Z43" s="6" t="b">
        <v>0</v>
      </c>
      <c r="AA43" s="6" t="b">
        <v>0</v>
      </c>
      <c r="AB43" s="6" t="b">
        <v>0</v>
      </c>
      <c r="AC43" s="6" t="str">
        <f t="shared" si="9"/>
        <v>15a</v>
      </c>
      <c r="AD43" s="6">
        <f aca="true" t="shared" si="14" ref="AD43:AD53">IF(AND(V43),AG43,0)</f>
        <v>4</v>
      </c>
      <c r="AG43" s="6">
        <v>4</v>
      </c>
    </row>
    <row r="44" spans="1:33" ht="15">
      <c r="A44" s="19" t="s">
        <v>476</v>
      </c>
      <c r="B44" s="6" t="b">
        <v>0</v>
      </c>
      <c r="C44" s="6" t="b">
        <v>0</v>
      </c>
      <c r="D44" s="6" t="b">
        <v>0</v>
      </c>
      <c r="E44" s="6" t="str">
        <f t="shared" si="4"/>
        <v>15b</v>
      </c>
      <c r="F44" s="6" t="b">
        <v>0</v>
      </c>
      <c r="G44" s="6" t="b">
        <v>0</v>
      </c>
      <c r="H44" s="6" t="b">
        <v>0</v>
      </c>
      <c r="I44" s="6" t="str">
        <f t="shared" si="5"/>
        <v>15b</v>
      </c>
      <c r="J44" s="6" t="b">
        <v>0</v>
      </c>
      <c r="K44" s="6" t="b">
        <v>1</v>
      </c>
      <c r="L44" s="6" t="b">
        <v>1</v>
      </c>
      <c r="M44" s="6" t="str">
        <f t="shared" si="6"/>
        <v>15b</v>
      </c>
      <c r="N44" s="6" t="b">
        <v>1</v>
      </c>
      <c r="O44" s="6" t="b">
        <v>0</v>
      </c>
      <c r="P44" s="6" t="b">
        <v>0</v>
      </c>
      <c r="Q44" s="6" t="str">
        <f t="shared" si="7"/>
        <v>15b</v>
      </c>
      <c r="R44" s="20">
        <f t="shared" si="11"/>
        <v>1234</v>
      </c>
      <c r="S44" s="20">
        <f t="shared" si="12"/>
        <v>234</v>
      </c>
      <c r="T44" s="20">
        <f t="shared" si="13"/>
        <v>234</v>
      </c>
      <c r="U44" s="6" t="str">
        <f t="shared" si="8"/>
        <v>15b</v>
      </c>
      <c r="V44" s="6" t="b">
        <v>0</v>
      </c>
      <c r="W44" s="6" t="b">
        <v>1</v>
      </c>
      <c r="X44" s="6" t="b">
        <v>1</v>
      </c>
      <c r="Y44" s="6" t="str">
        <f t="shared" si="3"/>
        <v>15b</v>
      </c>
      <c r="Z44" s="6" t="b">
        <v>0</v>
      </c>
      <c r="AA44" s="6" t="b">
        <v>0</v>
      </c>
      <c r="AB44" s="6" t="b">
        <v>0</v>
      </c>
      <c r="AC44" s="6" t="str">
        <f t="shared" si="9"/>
        <v>15b</v>
      </c>
      <c r="AD44" s="6">
        <f t="shared" si="14"/>
        <v>0</v>
      </c>
      <c r="AG44" s="6">
        <v>4</v>
      </c>
    </row>
    <row r="45" spans="1:33" ht="15">
      <c r="A45" s="19" t="s">
        <v>477</v>
      </c>
      <c r="B45" s="6" t="b">
        <v>0</v>
      </c>
      <c r="C45" s="6" t="b">
        <v>0</v>
      </c>
      <c r="D45" s="6" t="b">
        <v>0</v>
      </c>
      <c r="E45" s="6" t="str">
        <f t="shared" si="4"/>
        <v>15c</v>
      </c>
      <c r="F45" s="6" t="b">
        <v>0</v>
      </c>
      <c r="G45" s="6" t="b">
        <v>0</v>
      </c>
      <c r="H45" s="6" t="b">
        <v>0</v>
      </c>
      <c r="I45" s="6" t="str">
        <f t="shared" si="5"/>
        <v>15c</v>
      </c>
      <c r="J45" s="6" t="b">
        <v>0</v>
      </c>
      <c r="K45" s="6" t="b">
        <v>1</v>
      </c>
      <c r="L45" s="6" t="b">
        <v>1</v>
      </c>
      <c r="M45" s="6" t="str">
        <f t="shared" si="6"/>
        <v>15c</v>
      </c>
      <c r="N45" s="6" t="b">
        <v>1</v>
      </c>
      <c r="O45" s="6" t="b">
        <v>0</v>
      </c>
      <c r="P45" s="6" t="b">
        <v>0</v>
      </c>
      <c r="Q45" s="6" t="str">
        <f t="shared" si="7"/>
        <v>15c</v>
      </c>
      <c r="R45" s="20">
        <f t="shared" si="11"/>
        <v>1234</v>
      </c>
      <c r="S45" s="20">
        <f t="shared" si="12"/>
        <v>234</v>
      </c>
      <c r="T45" s="20">
        <f t="shared" si="13"/>
        <v>234</v>
      </c>
      <c r="U45" s="6" t="str">
        <f t="shared" si="8"/>
        <v>15c</v>
      </c>
      <c r="V45" s="6" t="b">
        <v>1</v>
      </c>
      <c r="W45" s="6" t="b">
        <v>1</v>
      </c>
      <c r="X45" s="6" t="b">
        <v>1</v>
      </c>
      <c r="Y45" s="6" t="str">
        <f t="shared" si="3"/>
        <v>15c</v>
      </c>
      <c r="Z45" s="6" t="b">
        <v>0</v>
      </c>
      <c r="AA45" s="6" t="b">
        <v>0</v>
      </c>
      <c r="AB45" s="6" t="b">
        <v>0</v>
      </c>
      <c r="AC45" s="6" t="str">
        <f t="shared" si="9"/>
        <v>15c</v>
      </c>
      <c r="AD45" s="6">
        <f t="shared" si="14"/>
        <v>4</v>
      </c>
      <c r="AG45" s="6">
        <v>4</v>
      </c>
    </row>
    <row r="46" spans="1:33" ht="15">
      <c r="A46" s="19" t="s">
        <v>478</v>
      </c>
      <c r="B46" s="6" t="b">
        <v>0</v>
      </c>
      <c r="C46" s="6" t="b">
        <v>1</v>
      </c>
      <c r="D46" s="6" t="b">
        <v>1</v>
      </c>
      <c r="E46" s="6" t="str">
        <f t="shared" si="4"/>
        <v>16a</v>
      </c>
      <c r="F46" s="6" t="b">
        <v>0</v>
      </c>
      <c r="G46" s="6" t="b">
        <v>0</v>
      </c>
      <c r="H46" s="6" t="b">
        <v>0</v>
      </c>
      <c r="I46" s="6" t="str">
        <f t="shared" si="5"/>
        <v>16a</v>
      </c>
      <c r="J46" s="6" t="b">
        <v>0</v>
      </c>
      <c r="K46" s="6" t="b">
        <v>0</v>
      </c>
      <c r="L46" s="6" t="b">
        <v>0</v>
      </c>
      <c r="M46" s="6" t="str">
        <f t="shared" si="6"/>
        <v>16a</v>
      </c>
      <c r="N46" s="6" t="b">
        <v>1</v>
      </c>
      <c r="O46" s="6" t="b">
        <v>0</v>
      </c>
      <c r="P46" s="6" t="b">
        <v>0</v>
      </c>
      <c r="Q46" s="6" t="str">
        <f t="shared" si="7"/>
        <v>16a</v>
      </c>
      <c r="R46" s="20">
        <f t="shared" si="11"/>
        <v>1234</v>
      </c>
      <c r="S46" s="20">
        <f t="shared" si="12"/>
        <v>34</v>
      </c>
      <c r="T46" s="20">
        <f t="shared" si="13"/>
        <v>34</v>
      </c>
      <c r="U46" s="6" t="str">
        <f t="shared" si="8"/>
        <v>16a</v>
      </c>
      <c r="V46" s="6" t="b">
        <v>1</v>
      </c>
      <c r="W46" s="6" t="b">
        <v>1</v>
      </c>
      <c r="X46" s="6" t="b">
        <v>1</v>
      </c>
      <c r="Y46" s="6" t="str">
        <f t="shared" si="3"/>
        <v>16a</v>
      </c>
      <c r="Z46" s="6" t="b">
        <v>0</v>
      </c>
      <c r="AA46" s="6" t="b">
        <v>0</v>
      </c>
      <c r="AB46" s="6" t="b">
        <v>0</v>
      </c>
      <c r="AC46" s="6" t="str">
        <f t="shared" si="9"/>
        <v>16a</v>
      </c>
      <c r="AD46" s="6">
        <f t="shared" si="14"/>
        <v>5</v>
      </c>
      <c r="AG46" s="6">
        <v>5</v>
      </c>
    </row>
    <row r="47" spans="1:33" ht="15">
      <c r="A47" s="19" t="s">
        <v>479</v>
      </c>
      <c r="B47" s="6" t="b">
        <v>0</v>
      </c>
      <c r="C47" s="6" t="b">
        <v>0</v>
      </c>
      <c r="D47" s="6" t="b">
        <v>0</v>
      </c>
      <c r="E47" s="6" t="str">
        <f t="shared" si="4"/>
        <v>16b</v>
      </c>
      <c r="F47" s="6" t="b">
        <v>0</v>
      </c>
      <c r="G47" s="6" t="b">
        <v>0</v>
      </c>
      <c r="H47" s="6" t="b">
        <v>0</v>
      </c>
      <c r="I47" s="6" t="str">
        <f t="shared" si="5"/>
        <v>16b</v>
      </c>
      <c r="J47" s="6" t="b">
        <v>0</v>
      </c>
      <c r="K47" s="6" t="b">
        <v>0</v>
      </c>
      <c r="L47" s="6" t="b">
        <v>0</v>
      </c>
      <c r="M47" s="6" t="str">
        <f t="shared" si="6"/>
        <v>16b</v>
      </c>
      <c r="N47" s="6" t="b">
        <v>1</v>
      </c>
      <c r="O47" s="6" t="b">
        <v>1</v>
      </c>
      <c r="P47" s="6" t="b">
        <v>1</v>
      </c>
      <c r="Q47" s="6" t="str">
        <f t="shared" si="7"/>
        <v>16b</v>
      </c>
      <c r="R47" s="20">
        <f t="shared" si="11"/>
        <v>1234</v>
      </c>
      <c r="S47" s="20">
        <f t="shared" si="12"/>
        <v>1234</v>
      </c>
      <c r="T47" s="20">
        <f t="shared" si="13"/>
        <v>1234</v>
      </c>
      <c r="U47" s="6" t="str">
        <f t="shared" si="8"/>
        <v>16b</v>
      </c>
      <c r="V47" s="6" t="b">
        <v>1</v>
      </c>
      <c r="W47" s="6" t="b">
        <v>1</v>
      </c>
      <c r="X47" s="6" t="b">
        <v>1</v>
      </c>
      <c r="Y47" s="6" t="str">
        <f t="shared" si="3"/>
        <v>16b</v>
      </c>
      <c r="Z47" s="6" t="b">
        <v>0</v>
      </c>
      <c r="AA47" s="6" t="b">
        <v>0</v>
      </c>
      <c r="AB47" s="6" t="b">
        <v>0</v>
      </c>
      <c r="AC47" s="6" t="str">
        <f t="shared" si="9"/>
        <v>16b</v>
      </c>
      <c r="AD47" s="6">
        <f t="shared" si="14"/>
        <v>5</v>
      </c>
      <c r="AG47" s="6">
        <v>5</v>
      </c>
    </row>
    <row r="48" spans="1:33" ht="15">
      <c r="A48" s="19" t="s">
        <v>480</v>
      </c>
      <c r="B48" s="6" t="b">
        <v>0</v>
      </c>
      <c r="C48" s="6" t="b">
        <v>1</v>
      </c>
      <c r="D48" s="6" t="b">
        <v>1</v>
      </c>
      <c r="E48" s="6" t="str">
        <f t="shared" si="4"/>
        <v>16c</v>
      </c>
      <c r="F48" s="6" t="b">
        <v>0</v>
      </c>
      <c r="G48" s="6" t="b">
        <v>0</v>
      </c>
      <c r="H48" s="6" t="b">
        <v>0</v>
      </c>
      <c r="I48" s="6" t="str">
        <f t="shared" si="5"/>
        <v>16c</v>
      </c>
      <c r="J48" s="6" t="b">
        <v>0</v>
      </c>
      <c r="K48" s="6" t="b">
        <v>0</v>
      </c>
      <c r="L48" s="6" t="b">
        <v>0</v>
      </c>
      <c r="M48" s="6" t="str">
        <f t="shared" si="6"/>
        <v>16c</v>
      </c>
      <c r="N48" s="6" t="b">
        <v>1</v>
      </c>
      <c r="O48" s="6" t="b">
        <v>0</v>
      </c>
      <c r="P48" s="6" t="b">
        <v>0</v>
      </c>
      <c r="Q48" s="6" t="str">
        <f t="shared" si="7"/>
        <v>16c</v>
      </c>
      <c r="R48" s="20">
        <f t="shared" si="11"/>
        <v>1234</v>
      </c>
      <c r="S48" s="20">
        <f t="shared" si="12"/>
        <v>34</v>
      </c>
      <c r="T48" s="20">
        <f t="shared" si="13"/>
        <v>34</v>
      </c>
      <c r="U48" s="6" t="str">
        <f t="shared" si="8"/>
        <v>16c</v>
      </c>
      <c r="V48" s="6" t="b">
        <v>1</v>
      </c>
      <c r="W48" s="6" t="b">
        <v>1</v>
      </c>
      <c r="X48" s="6" t="b">
        <v>1</v>
      </c>
      <c r="Y48" s="6" t="str">
        <f t="shared" si="3"/>
        <v>16c</v>
      </c>
      <c r="Z48" s="6" t="b">
        <v>0</v>
      </c>
      <c r="AA48" s="6" t="b">
        <v>0</v>
      </c>
      <c r="AB48" s="6" t="b">
        <v>0</v>
      </c>
      <c r="AC48" s="6" t="str">
        <f t="shared" si="9"/>
        <v>16c</v>
      </c>
      <c r="AD48" s="6">
        <f t="shared" si="14"/>
        <v>5</v>
      </c>
      <c r="AG48" s="6">
        <v>5</v>
      </c>
    </row>
    <row r="49" spans="1:33" ht="15">
      <c r="A49" s="19" t="s">
        <v>481</v>
      </c>
      <c r="B49" s="6" t="b">
        <v>0</v>
      </c>
      <c r="C49" s="6" t="b">
        <v>1</v>
      </c>
      <c r="D49" s="6" t="b">
        <v>1</v>
      </c>
      <c r="E49" s="6" t="str">
        <f t="shared" si="4"/>
        <v>16d</v>
      </c>
      <c r="F49" s="6" t="b">
        <v>0</v>
      </c>
      <c r="G49" s="6" t="b">
        <v>0</v>
      </c>
      <c r="H49" s="6" t="b">
        <v>0</v>
      </c>
      <c r="I49" s="6" t="str">
        <f t="shared" si="5"/>
        <v>16d</v>
      </c>
      <c r="J49" s="6" t="b">
        <v>0</v>
      </c>
      <c r="K49" s="6" t="b">
        <v>0</v>
      </c>
      <c r="L49" s="6" t="b">
        <v>0</v>
      </c>
      <c r="M49" s="6" t="str">
        <f t="shared" si="6"/>
        <v>16d</v>
      </c>
      <c r="N49" s="6" t="b">
        <v>1</v>
      </c>
      <c r="O49" s="6" t="b">
        <v>0</v>
      </c>
      <c r="P49" s="6" t="b">
        <v>0</v>
      </c>
      <c r="Q49" s="6" t="str">
        <f t="shared" si="7"/>
        <v>16d</v>
      </c>
      <c r="R49" s="20">
        <f t="shared" si="11"/>
        <v>1234</v>
      </c>
      <c r="S49" s="20">
        <f t="shared" si="12"/>
        <v>34</v>
      </c>
      <c r="T49" s="20">
        <f t="shared" si="13"/>
        <v>34</v>
      </c>
      <c r="U49" s="6" t="str">
        <f t="shared" si="8"/>
        <v>16d</v>
      </c>
      <c r="V49" s="6" t="b">
        <v>1</v>
      </c>
      <c r="W49" s="6" t="b">
        <v>1</v>
      </c>
      <c r="X49" s="6" t="b">
        <v>1</v>
      </c>
      <c r="Y49" s="6" t="str">
        <f t="shared" si="3"/>
        <v>16d</v>
      </c>
      <c r="Z49" s="6" t="b">
        <v>0</v>
      </c>
      <c r="AA49" s="6" t="b">
        <v>0</v>
      </c>
      <c r="AB49" s="6" t="b">
        <v>0</v>
      </c>
      <c r="AC49" s="6" t="str">
        <f t="shared" si="9"/>
        <v>16d</v>
      </c>
      <c r="AD49" s="6">
        <f t="shared" si="14"/>
        <v>5</v>
      </c>
      <c r="AG49" s="6">
        <v>5</v>
      </c>
    </row>
    <row r="50" spans="1:33" ht="15">
      <c r="A50" s="19" t="s">
        <v>482</v>
      </c>
      <c r="B50" s="6" t="b">
        <v>0</v>
      </c>
      <c r="C50" s="6" t="b">
        <v>1</v>
      </c>
      <c r="D50" s="6" t="b">
        <v>1</v>
      </c>
      <c r="E50" s="6" t="str">
        <f t="shared" si="4"/>
        <v>17a</v>
      </c>
      <c r="F50" s="6" t="b">
        <v>0</v>
      </c>
      <c r="G50" s="6" t="b">
        <v>0</v>
      </c>
      <c r="H50" s="6" t="b">
        <v>0</v>
      </c>
      <c r="I50" s="6" t="str">
        <f t="shared" si="5"/>
        <v>17a</v>
      </c>
      <c r="J50" s="6" t="b">
        <v>0</v>
      </c>
      <c r="K50" s="6" t="b">
        <v>0</v>
      </c>
      <c r="L50" s="6" t="b">
        <v>0</v>
      </c>
      <c r="M50" s="6" t="str">
        <f t="shared" si="6"/>
        <v>17a</v>
      </c>
      <c r="N50" s="6" t="b">
        <v>1</v>
      </c>
      <c r="O50" s="6" t="b">
        <v>0</v>
      </c>
      <c r="P50" s="6" t="b">
        <v>0</v>
      </c>
      <c r="Q50" s="6" t="str">
        <f t="shared" si="7"/>
        <v>17a</v>
      </c>
      <c r="R50" s="20">
        <f t="shared" si="11"/>
        <v>1234</v>
      </c>
      <c r="S50" s="20">
        <f t="shared" si="12"/>
        <v>34</v>
      </c>
      <c r="T50" s="20">
        <f t="shared" si="13"/>
        <v>34</v>
      </c>
      <c r="U50" s="6" t="str">
        <f t="shared" si="8"/>
        <v>17a</v>
      </c>
      <c r="V50" s="6" t="b">
        <v>1</v>
      </c>
      <c r="W50" s="6" t="b">
        <v>1</v>
      </c>
      <c r="X50" s="6" t="b">
        <v>1</v>
      </c>
      <c r="Y50" s="6" t="str">
        <f t="shared" si="3"/>
        <v>17a</v>
      </c>
      <c r="Z50" s="6" t="b">
        <v>0</v>
      </c>
      <c r="AA50" s="6" t="b">
        <v>0</v>
      </c>
      <c r="AB50" s="6" t="b">
        <v>0</v>
      </c>
      <c r="AC50" s="6" t="str">
        <f t="shared" si="9"/>
        <v>17a</v>
      </c>
      <c r="AD50" s="6">
        <f t="shared" si="14"/>
        <v>6</v>
      </c>
      <c r="AG50" s="6">
        <v>6</v>
      </c>
    </row>
    <row r="51" spans="1:33" ht="15">
      <c r="A51" s="19" t="s">
        <v>549</v>
      </c>
      <c r="B51" s="6" t="b">
        <v>0</v>
      </c>
      <c r="C51" s="6" t="b">
        <v>0</v>
      </c>
      <c r="D51" s="6" t="b">
        <v>0</v>
      </c>
      <c r="E51" s="6" t="str">
        <f t="shared" si="4"/>
        <v>17b</v>
      </c>
      <c r="F51" s="6" t="b">
        <v>0</v>
      </c>
      <c r="G51" s="6" t="b">
        <v>0</v>
      </c>
      <c r="H51" s="6" t="b">
        <v>0</v>
      </c>
      <c r="I51" s="6" t="str">
        <f t="shared" si="5"/>
        <v>17b</v>
      </c>
      <c r="J51" s="6" t="b">
        <v>0</v>
      </c>
      <c r="K51" s="6" t="b">
        <v>0</v>
      </c>
      <c r="L51" s="6" t="b">
        <v>1</v>
      </c>
      <c r="M51" s="6" t="str">
        <f t="shared" si="6"/>
        <v>17b</v>
      </c>
      <c r="N51" s="6" t="b">
        <v>1</v>
      </c>
      <c r="O51" s="6" t="b">
        <v>0</v>
      </c>
      <c r="P51" s="6" t="b">
        <v>0</v>
      </c>
      <c r="Q51" s="6" t="str">
        <f t="shared" si="7"/>
        <v>17b</v>
      </c>
      <c r="R51" s="20">
        <f t="shared" si="11"/>
        <v>1234</v>
      </c>
      <c r="S51" s="20">
        <f t="shared" si="12"/>
        <v>1234</v>
      </c>
      <c r="T51" s="20">
        <f t="shared" si="13"/>
        <v>234</v>
      </c>
      <c r="U51" s="6" t="str">
        <f t="shared" si="8"/>
        <v>17b</v>
      </c>
      <c r="V51" s="6" t="b">
        <v>0</v>
      </c>
      <c r="W51" s="6" t="b">
        <v>1</v>
      </c>
      <c r="X51" s="6" t="b">
        <v>1</v>
      </c>
      <c r="Y51" s="6" t="str">
        <f t="shared" si="3"/>
        <v>17b</v>
      </c>
      <c r="Z51" s="6" t="b">
        <v>0</v>
      </c>
      <c r="AA51" s="6" t="b">
        <v>1</v>
      </c>
      <c r="AB51" s="6" t="b">
        <v>0</v>
      </c>
      <c r="AC51" s="6" t="str">
        <f t="shared" si="9"/>
        <v>17b</v>
      </c>
      <c r="AD51" s="6">
        <f t="shared" si="14"/>
        <v>0</v>
      </c>
      <c r="AG51" s="6">
        <v>6</v>
      </c>
    </row>
    <row r="52" spans="1:33" ht="15">
      <c r="A52" s="19" t="s">
        <v>483</v>
      </c>
      <c r="B52" s="6" t="b">
        <v>0</v>
      </c>
      <c r="C52" s="6" t="b">
        <v>0</v>
      </c>
      <c r="D52" s="6" t="b">
        <v>0</v>
      </c>
      <c r="E52" s="6" t="str">
        <f t="shared" si="4"/>
        <v>18a</v>
      </c>
      <c r="F52" s="6" t="b">
        <v>0</v>
      </c>
      <c r="G52" s="6" t="b">
        <v>0</v>
      </c>
      <c r="H52" s="6" t="b">
        <v>0</v>
      </c>
      <c r="I52" s="6" t="str">
        <f t="shared" si="5"/>
        <v>18a</v>
      </c>
      <c r="J52" s="6" t="b">
        <v>0</v>
      </c>
      <c r="K52" s="6" t="b">
        <v>0</v>
      </c>
      <c r="L52" s="6" t="b">
        <v>1</v>
      </c>
      <c r="M52" s="6" t="str">
        <f t="shared" si="6"/>
        <v>18a</v>
      </c>
      <c r="N52" s="6" t="b">
        <v>1</v>
      </c>
      <c r="O52" s="6" t="b">
        <v>1</v>
      </c>
      <c r="P52" s="6" t="b">
        <v>0</v>
      </c>
      <c r="Q52" s="6" t="str">
        <f t="shared" si="7"/>
        <v>18a</v>
      </c>
      <c r="R52" s="20">
        <f t="shared" si="11"/>
        <v>1234</v>
      </c>
      <c r="S52" s="20">
        <f t="shared" si="12"/>
        <v>1234</v>
      </c>
      <c r="T52" s="20">
        <f t="shared" si="13"/>
        <v>234</v>
      </c>
      <c r="U52" s="6" t="str">
        <f t="shared" si="8"/>
        <v>18a</v>
      </c>
      <c r="V52" s="6" t="b">
        <v>0</v>
      </c>
      <c r="W52" s="6" t="b">
        <v>1</v>
      </c>
      <c r="X52" s="6" t="b">
        <v>1</v>
      </c>
      <c r="Y52" s="6" t="str">
        <f t="shared" si="3"/>
        <v>18a</v>
      </c>
      <c r="Z52" s="6" t="b">
        <v>0</v>
      </c>
      <c r="AA52" s="6" t="b">
        <v>0</v>
      </c>
      <c r="AB52" s="6" t="b">
        <v>0</v>
      </c>
      <c r="AC52" s="6" t="str">
        <f t="shared" si="9"/>
        <v>18a</v>
      </c>
      <c r="AD52" s="6">
        <f t="shared" si="14"/>
        <v>0</v>
      </c>
      <c r="AG52" s="6">
        <v>7</v>
      </c>
    </row>
    <row r="53" spans="1:33" ht="15">
      <c r="A53" s="19" t="s">
        <v>484</v>
      </c>
      <c r="B53" s="6" t="b">
        <v>0</v>
      </c>
      <c r="C53" s="6" t="b">
        <v>1</v>
      </c>
      <c r="D53" s="6" t="b">
        <v>1</v>
      </c>
      <c r="E53" s="6" t="str">
        <f t="shared" si="4"/>
        <v>18b</v>
      </c>
      <c r="F53" s="6" t="b">
        <v>0</v>
      </c>
      <c r="G53" s="6" t="b">
        <v>0</v>
      </c>
      <c r="H53" s="6" t="b">
        <v>0</v>
      </c>
      <c r="I53" s="6" t="str">
        <f t="shared" si="5"/>
        <v>18b</v>
      </c>
      <c r="J53" s="6" t="b">
        <v>0</v>
      </c>
      <c r="K53" s="6" t="b">
        <v>0</v>
      </c>
      <c r="L53" s="6" t="b">
        <v>0</v>
      </c>
      <c r="M53" s="6" t="str">
        <f t="shared" si="6"/>
        <v>18b</v>
      </c>
      <c r="N53" s="6" t="b">
        <v>1</v>
      </c>
      <c r="O53" s="6" t="b">
        <v>0</v>
      </c>
      <c r="P53" s="6" t="b">
        <v>0</v>
      </c>
      <c r="Q53" s="6" t="str">
        <f t="shared" si="7"/>
        <v>18b</v>
      </c>
      <c r="R53" s="20">
        <f t="shared" si="11"/>
        <v>1234</v>
      </c>
      <c r="S53" s="20">
        <f t="shared" si="12"/>
        <v>34</v>
      </c>
      <c r="T53" s="20">
        <f t="shared" si="13"/>
        <v>34</v>
      </c>
      <c r="U53" s="6" t="str">
        <f t="shared" si="8"/>
        <v>18b</v>
      </c>
      <c r="V53" s="6" t="b">
        <v>0</v>
      </c>
      <c r="W53" s="6" t="b">
        <v>1</v>
      </c>
      <c r="X53" s="6" t="b">
        <v>1</v>
      </c>
      <c r="Y53" s="6" t="str">
        <f t="shared" si="3"/>
        <v>18b</v>
      </c>
      <c r="Z53" s="6" t="b">
        <v>0</v>
      </c>
      <c r="AA53" s="6" t="b">
        <v>0</v>
      </c>
      <c r="AB53" s="6" t="b">
        <v>0</v>
      </c>
      <c r="AC53" s="6" t="str">
        <f t="shared" si="9"/>
        <v>18b</v>
      </c>
      <c r="AD53" s="6">
        <f t="shared" si="14"/>
        <v>0</v>
      </c>
      <c r="AG53" s="6">
        <v>7</v>
      </c>
    </row>
  </sheetData>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2"/>
  <sheetViews>
    <sheetView showGridLines="0" showRowColHeaders="0" workbookViewId="0" topLeftCell="A1">
      <pane ySplit="1" topLeftCell="A2" activePane="bottomLeft" state="frozen"/>
      <selection pane="bottomLeft" activeCell="I1" sqref="I1"/>
    </sheetView>
  </sheetViews>
  <sheetFormatPr defaultColWidth="9.140625" defaultRowHeight="15"/>
  <cols>
    <col min="1" max="1" width="9.140625" style="6" customWidth="1"/>
    <col min="2" max="2" width="9.8515625" style="6" bestFit="1" customWidth="1"/>
    <col min="3" max="3" width="8.7109375" style="6" bestFit="1" customWidth="1"/>
    <col min="4" max="4" width="7.421875" style="6" bestFit="1" customWidth="1"/>
    <col min="5" max="16384" width="9.140625" style="6" customWidth="1"/>
  </cols>
  <sheetData>
    <row r="1" spans="1:9" ht="15">
      <c r="A1" s="6" t="s">
        <v>39</v>
      </c>
      <c r="B1" s="6" t="s">
        <v>119</v>
      </c>
      <c r="C1" s="6" t="s">
        <v>688</v>
      </c>
      <c r="D1" s="6" t="s">
        <v>689</v>
      </c>
      <c r="E1" s="6" t="s">
        <v>690</v>
      </c>
      <c r="F1" s="6" t="s">
        <v>691</v>
      </c>
      <c r="G1" s="6" t="s">
        <v>614</v>
      </c>
      <c r="H1" s="6" t="s">
        <v>692</v>
      </c>
      <c r="I1" s="6" t="s">
        <v>693</v>
      </c>
    </row>
    <row r="2" spans="1:9" ht="15">
      <c r="A2" s="6" t="str">
        <f>Vragen!AF6</f>
        <v>1a</v>
      </c>
      <c r="B2" s="6">
        <f>Vragen!AK6*Vragen!$AV6</f>
        <v>0</v>
      </c>
      <c r="C2" s="6" t="str">
        <f>'Algemene gegevens'!B19</f>
        <v>Nieuw</v>
      </c>
      <c r="D2" s="6">
        <f>ROUNDUP(MONTH('Algemene gegevens'!B9)/3,0)</f>
        <v>1</v>
      </c>
      <c r="E2" s="6">
        <f>YEAR('Algemene gegevens'!B9)</f>
        <v>1900</v>
      </c>
      <c r="F2" s="6" t="str">
        <f>Resultatenblad!H14</f>
        <v>GEVEL</v>
      </c>
      <c r="G2" s="6" t="b">
        <f>LOWER(Resultatenblad!I14)="ja"</f>
        <v>0</v>
      </c>
      <c r="H2" s="6" t="b">
        <f>LOWER(Resultatenblad!I11)="ja"</f>
        <v>0</v>
      </c>
      <c r="I2" s="6">
        <v>2</v>
      </c>
    </row>
    <row r="3" spans="1:7" ht="15">
      <c r="A3" s="6" t="str">
        <f>Vragen!AF7</f>
        <v>1b</v>
      </c>
      <c r="B3" s="6">
        <f>Vragen!AK7*Vragen!$AV7</f>
        <v>0</v>
      </c>
      <c r="F3" s="6" t="str">
        <f>Resultatenblad!H15</f>
        <v>DAKEN</v>
      </c>
      <c r="G3" s="6" t="b">
        <f>LOWER(Resultatenblad!I15)="ja"</f>
        <v>0</v>
      </c>
    </row>
    <row r="4" spans="1:7" ht="15">
      <c r="A4" s="6" t="str">
        <f>Vragen!AF8</f>
        <v>2a</v>
      </c>
      <c r="B4" s="6">
        <f>Vragen!AK8*Vragen!$AV8</f>
        <v>0</v>
      </c>
      <c r="F4" s="6" t="str">
        <f>Resultatenblad!H16</f>
        <v>INSTALLATIES</v>
      </c>
      <c r="G4" s="6" t="b">
        <f>LOWER(Resultatenblad!I16)="ja"</f>
        <v>0</v>
      </c>
    </row>
    <row r="5" spans="1:7" ht="15">
      <c r="A5" s="6" t="str">
        <f>Vragen!AF9</f>
        <v>2b</v>
      </c>
      <c r="B5" s="6">
        <f>Vragen!AK9*Vragen!$AV9</f>
        <v>0</v>
      </c>
      <c r="F5" s="6" t="str">
        <f>Resultatenblad!H17</f>
        <v>INTERIEUR</v>
      </c>
      <c r="G5" s="6" t="b">
        <f>LOWER(Resultatenblad!I17)="ja"</f>
        <v>0</v>
      </c>
    </row>
    <row r="6" spans="1:2" ht="15">
      <c r="A6" s="6" t="str">
        <f>Vragen!AF10</f>
        <v>2c</v>
      </c>
      <c r="B6" s="6">
        <f>Vragen!AK10*Vragen!$AV10</f>
        <v>0</v>
      </c>
    </row>
    <row r="7" spans="1:2" ht="15">
      <c r="A7" s="6" t="str">
        <f>Vragen!AF11</f>
        <v>3a</v>
      </c>
      <c r="B7" s="6">
        <f>Vragen!AK11*Vragen!$AV11</f>
        <v>0</v>
      </c>
    </row>
    <row r="8" spans="1:2" ht="15">
      <c r="A8" s="6" t="str">
        <f>Vragen!AF12</f>
        <v>3b</v>
      </c>
      <c r="B8" s="6">
        <f>Vragen!AK12*Vragen!$AV12</f>
        <v>0</v>
      </c>
    </row>
    <row r="9" spans="1:2" ht="15">
      <c r="A9" s="6" t="str">
        <f>Vragen!AF13</f>
        <v>4a</v>
      </c>
      <c r="B9" s="6">
        <f>Vragen!AK13*Vragen!$AV13</f>
        <v>0</v>
      </c>
    </row>
    <row r="10" spans="1:2" ht="15">
      <c r="A10" s="6" t="str">
        <f>Vragen!AF14</f>
        <v>4b</v>
      </c>
      <c r="B10" s="6">
        <f>Vragen!AK14*Vragen!$AV14</f>
        <v>0</v>
      </c>
    </row>
    <row r="11" spans="1:2" ht="15">
      <c r="A11" s="6" t="str">
        <f>Vragen!AF15</f>
        <v>4c</v>
      </c>
      <c r="B11" s="6">
        <f>Vragen!AK15*Vragen!$AV15</f>
        <v>0</v>
      </c>
    </row>
    <row r="12" spans="1:2" ht="15">
      <c r="A12" s="6" t="str">
        <f>Vragen!AF16</f>
        <v>5a</v>
      </c>
      <c r="B12" s="6">
        <f>Vragen!AK16*Vragen!$AV16</f>
        <v>0</v>
      </c>
    </row>
    <row r="13" spans="1:2" ht="15">
      <c r="A13" s="6" t="str">
        <f>Vragen!AF17</f>
        <v>5b</v>
      </c>
      <c r="B13" s="6">
        <f>Vragen!AK17*Vragen!$AV17</f>
        <v>0</v>
      </c>
    </row>
    <row r="14" spans="1:2" ht="15">
      <c r="A14" s="6" t="str">
        <f>Vragen!AF18</f>
        <v>6a</v>
      </c>
      <c r="B14" s="6">
        <f>Vragen!AK18*Vragen!$AV18</f>
        <v>0</v>
      </c>
    </row>
    <row r="15" spans="1:2" ht="15">
      <c r="A15" s="6" t="str">
        <f>Vragen!AF19</f>
        <v>6b</v>
      </c>
      <c r="B15" s="6">
        <f>Vragen!AK19*Vragen!$AV19</f>
        <v>0</v>
      </c>
    </row>
    <row r="16" spans="1:2" ht="15">
      <c r="A16" s="6" t="str">
        <f>Vragen!AF20</f>
        <v>7a</v>
      </c>
      <c r="B16" s="6">
        <f>Vragen!AK20*Vragen!$AV20</f>
        <v>0</v>
      </c>
    </row>
    <row r="17" spans="1:2" ht="15">
      <c r="A17" s="6" t="str">
        <f>Vragen!AF21</f>
        <v>7b</v>
      </c>
      <c r="B17" s="6">
        <f>Vragen!AK21*Vragen!$AV21</f>
        <v>0</v>
      </c>
    </row>
    <row r="18" spans="1:2" ht="15">
      <c r="A18" s="6" t="str">
        <f>Vragen!AF22</f>
        <v>8a</v>
      </c>
      <c r="B18" s="6">
        <f>Vragen!AK22*Vragen!$AV22</f>
        <v>0</v>
      </c>
    </row>
    <row r="19" spans="1:2" ht="15">
      <c r="A19" s="6" t="str">
        <f>Vragen!AF23</f>
        <v>8b</v>
      </c>
      <c r="B19" s="6">
        <f>Vragen!AK23*Vragen!$AV23</f>
        <v>0</v>
      </c>
    </row>
    <row r="20" spans="1:2" ht="15">
      <c r="A20" s="6" t="str">
        <f>Vragen!AF24</f>
        <v>8c</v>
      </c>
      <c r="B20" s="6">
        <f>Vragen!AK24*Vragen!$AV24</f>
        <v>0</v>
      </c>
    </row>
    <row r="21" spans="1:2" ht="15">
      <c r="A21" s="6" t="str">
        <f>Vragen!AF25</f>
        <v>8d</v>
      </c>
      <c r="B21" s="6">
        <f>Vragen!AK25*Vragen!$AV25</f>
        <v>0</v>
      </c>
    </row>
    <row r="22" spans="1:2" ht="15">
      <c r="A22" s="6" t="str">
        <f>Vragen!AF26</f>
        <v>9a</v>
      </c>
      <c r="B22" s="6">
        <f>Vragen!AK26*Vragen!$AV26</f>
        <v>0</v>
      </c>
    </row>
    <row r="23" spans="1:2" ht="15">
      <c r="A23" s="6" t="str">
        <f>Vragen!AF27</f>
        <v>9b</v>
      </c>
      <c r="B23" s="6">
        <f>Vragen!AK27*Vragen!$AV27</f>
        <v>0</v>
      </c>
    </row>
    <row r="24" spans="1:2" ht="15">
      <c r="A24" s="6" t="str">
        <f>Vragen!AF28</f>
        <v>10a</v>
      </c>
      <c r="B24" s="6">
        <f>Vragen!AK28*Vragen!$AV28</f>
        <v>0</v>
      </c>
    </row>
    <row r="25" spans="1:2" ht="15">
      <c r="A25" s="6" t="str">
        <f>Vragen!AF29</f>
        <v>10b</v>
      </c>
      <c r="B25" s="6">
        <f>Vragen!AK29*Vragen!$AV29</f>
        <v>0</v>
      </c>
    </row>
    <row r="26" spans="1:2" ht="15">
      <c r="A26" s="6" t="str">
        <f>Vragen!AF30</f>
        <v>10c</v>
      </c>
      <c r="B26" s="6">
        <f>Vragen!AK30*Vragen!$AV30</f>
        <v>0</v>
      </c>
    </row>
    <row r="27" spans="1:2" ht="15">
      <c r="A27" s="6" t="str">
        <f>Vragen!AF31</f>
        <v>11a</v>
      </c>
      <c r="B27" s="6">
        <f>Vragen!AK31*Vragen!$AV31</f>
        <v>0</v>
      </c>
    </row>
    <row r="28" spans="1:2" ht="15">
      <c r="A28" s="6" t="str">
        <f>Vragen!AF32</f>
        <v>11b</v>
      </c>
      <c r="B28" s="6">
        <f>Vragen!AK32*Vragen!$AV32</f>
        <v>0</v>
      </c>
    </row>
    <row r="29" spans="1:2" ht="15">
      <c r="A29" s="6" t="str">
        <f>Vragen!AF33</f>
        <v>12a</v>
      </c>
      <c r="B29" s="6">
        <f>Vragen!AK33*Vragen!$AV33</f>
        <v>0</v>
      </c>
    </row>
    <row r="30" spans="1:2" ht="15">
      <c r="A30" s="6" t="str">
        <f>Vragen!AF34</f>
        <v>12b</v>
      </c>
      <c r="B30" s="6">
        <f>Vragen!AK34*Vragen!$AV34</f>
        <v>0</v>
      </c>
    </row>
    <row r="31" spans="1:2" ht="15">
      <c r="A31" s="6" t="str">
        <f>Vragen!AF35</f>
        <v>12c</v>
      </c>
      <c r="B31" s="6">
        <f>Vragen!AK35*Vragen!$AV35</f>
        <v>0</v>
      </c>
    </row>
    <row r="32" spans="1:2" ht="15">
      <c r="A32" s="6" t="str">
        <f>Vragen!AF36</f>
        <v>13a</v>
      </c>
      <c r="B32" s="6">
        <f>Vragen!AK36*Vragen!$AV36</f>
        <v>0</v>
      </c>
    </row>
    <row r="33" spans="1:2" ht="15">
      <c r="A33" s="6" t="str">
        <f>Vragen!AF37</f>
        <v>13b</v>
      </c>
      <c r="B33" s="6">
        <f>Vragen!AK37*Vragen!$AV37</f>
        <v>0</v>
      </c>
    </row>
    <row r="34" spans="1:2" ht="15">
      <c r="A34" s="6" t="str">
        <f>Vragen!AF38</f>
        <v>13c</v>
      </c>
      <c r="B34" s="6">
        <f>Vragen!AK38*Vragen!$AV38</f>
        <v>0</v>
      </c>
    </row>
    <row r="35" spans="1:2" ht="15">
      <c r="A35" s="6" t="str">
        <f>Vragen!AF39</f>
        <v>13d</v>
      </c>
      <c r="B35" s="6">
        <f>Vragen!AK39*Vragen!$AV39</f>
        <v>0</v>
      </c>
    </row>
    <row r="36" spans="1:2" ht="15">
      <c r="A36" s="6" t="str">
        <f>Vragen!AF40</f>
        <v>13e</v>
      </c>
      <c r="B36" s="6">
        <f>Vragen!AK40*Vragen!$AV40</f>
        <v>0</v>
      </c>
    </row>
    <row r="37" spans="1:2" ht="15">
      <c r="A37" s="6" t="str">
        <f>Vragen!AF41</f>
        <v>14a</v>
      </c>
      <c r="B37" s="6">
        <f>Vragen!AK41*Vragen!$AV41</f>
        <v>0</v>
      </c>
    </row>
    <row r="38" spans="1:2" ht="15">
      <c r="A38" s="6" t="str">
        <f>Vragen!AF42</f>
        <v>14b</v>
      </c>
      <c r="B38" s="6">
        <f>Vragen!AK42*Vragen!$AV42</f>
        <v>0</v>
      </c>
    </row>
    <row r="39" spans="1:2" ht="15">
      <c r="A39" s="6" t="str">
        <f>Vragen!AF43</f>
        <v>14c</v>
      </c>
      <c r="B39" s="6">
        <f>Vragen!AK43*Vragen!$AV43</f>
        <v>0</v>
      </c>
    </row>
    <row r="40" spans="1:2" ht="15">
      <c r="A40" s="6" t="str">
        <f>Vragen!AF44</f>
        <v>14d</v>
      </c>
      <c r="B40" s="6">
        <f>Vragen!AK44*Vragen!$AV44</f>
        <v>0</v>
      </c>
    </row>
    <row r="41" spans="1:2" ht="15">
      <c r="A41" s="6" t="str">
        <f>Vragen!AF45</f>
        <v>14e</v>
      </c>
      <c r="B41" s="6">
        <f>Vragen!AK45*Vragen!$AV45</f>
        <v>0</v>
      </c>
    </row>
    <row r="42" spans="1:2" ht="15">
      <c r="A42" s="6" t="str">
        <f>Vragen!AF46</f>
        <v>15a</v>
      </c>
      <c r="B42" s="6">
        <f>Vragen!AK46*Vragen!$AV46</f>
        <v>0</v>
      </c>
    </row>
    <row r="43" spans="1:2" ht="15">
      <c r="A43" s="6" t="str">
        <f>Vragen!AF47</f>
        <v>15b</v>
      </c>
      <c r="B43" s="6">
        <f>Vragen!AK47*Vragen!$AV47</f>
        <v>0</v>
      </c>
    </row>
    <row r="44" spans="1:2" ht="15">
      <c r="A44" s="6" t="str">
        <f>Vragen!AF48</f>
        <v>15c</v>
      </c>
      <c r="B44" s="6">
        <f>Vragen!AK48*Vragen!$AV48</f>
        <v>0</v>
      </c>
    </row>
    <row r="45" spans="1:2" ht="15">
      <c r="A45" s="6" t="str">
        <f>Vragen!AF49</f>
        <v>16a</v>
      </c>
      <c r="B45" s="6">
        <f>Vragen!AK49*Vragen!$AV49</f>
        <v>0</v>
      </c>
    </row>
    <row r="46" spans="1:2" ht="15">
      <c r="A46" s="6" t="str">
        <f>Vragen!AF50</f>
        <v>16b</v>
      </c>
      <c r="B46" s="6">
        <f>Vragen!AK50*Vragen!$AV50</f>
        <v>0</v>
      </c>
    </row>
    <row r="47" spans="1:2" ht="15">
      <c r="A47" s="6" t="str">
        <f>Vragen!AF51</f>
        <v>16c</v>
      </c>
      <c r="B47" s="6">
        <f>Vragen!AK51*Vragen!$AV51</f>
        <v>0</v>
      </c>
    </row>
    <row r="48" spans="1:2" ht="15">
      <c r="A48" s="6" t="str">
        <f>Vragen!AF52</f>
        <v>16d</v>
      </c>
      <c r="B48" s="6">
        <f>Vragen!AK52*Vragen!$AV52</f>
        <v>0</v>
      </c>
    </row>
    <row r="49" spans="1:2" ht="15">
      <c r="A49" s="6" t="str">
        <f>Vragen!AF53</f>
        <v>17a</v>
      </c>
      <c r="B49" s="6">
        <f>Vragen!AK53*Vragen!$AV53</f>
        <v>0</v>
      </c>
    </row>
    <row r="50" spans="1:2" ht="15">
      <c r="A50" s="6" t="str">
        <f>Vragen!AF54</f>
        <v>17b</v>
      </c>
      <c r="B50" s="6">
        <f>Vragen!AK54*Vragen!$AV54</f>
        <v>0</v>
      </c>
    </row>
    <row r="51" spans="1:2" ht="15">
      <c r="A51" s="6" t="str">
        <f>Vragen!AF55</f>
        <v>18a</v>
      </c>
      <c r="B51" s="6">
        <f>Vragen!AK55*Vragen!$AV55</f>
        <v>0</v>
      </c>
    </row>
    <row r="52" spans="1:2" ht="15">
      <c r="A52" s="6" t="str">
        <f>Vragen!AF56</f>
        <v>18b</v>
      </c>
      <c r="B52" s="6">
        <f>Vragen!AK56*Vragen!$AV56</f>
        <v>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Visser</dc:creator>
  <cp:keywords/>
  <dc:description/>
  <cp:lastModifiedBy>Cor van den Hoven</cp:lastModifiedBy>
  <cp:lastPrinted>2020-05-20T07:19:24Z</cp:lastPrinted>
  <dcterms:created xsi:type="dcterms:W3CDTF">2013-11-26T08:09:22Z</dcterms:created>
  <dcterms:modified xsi:type="dcterms:W3CDTF">2020-08-31T14:00:14Z</dcterms:modified>
  <cp:category/>
  <cp:version/>
  <cp:contentType/>
  <cp:contentStatus/>
</cp:coreProperties>
</file>